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otaff-my.sharepoint.com/personal/fukaya_otaff_or_jp/Documents/深谷/16_２号試験_実務経験証明書/"/>
    </mc:Choice>
  </mc:AlternateContent>
  <xr:revisionPtr revIDLastSave="227" documentId="14_{90E31315-D534-4B88-8185-54376840B407}" xr6:coauthVersionLast="47" xr6:coauthVersionMax="47" xr10:uidLastSave="{D0F72516-AE8E-4C09-BEBF-EA580B81A72A}"/>
  <bookViews>
    <workbookView xWindow="-120" yWindow="480" windowWidth="29040" windowHeight="15840" tabRatio="539" firstSheet="1" activeTab="1" xr2:uid="{8AE05206-3AF6-48F9-9C4C-8E8AE6BE7780}"/>
  </bookViews>
  <sheets>
    <sheet name="①実務経験修了者（原本）" sheetId="8" state="hidden" r:id="rId1"/>
    <sheet name="【A】実務経験要件判定シート" sheetId="10" r:id="rId2"/>
    <sheet name="【B】実務経験証明書" sheetId="6" r:id="rId3"/>
    <sheet name="【C】誓約書" sheetId="7" r:id="rId4"/>
    <sheet name="【D】管理 指導等実務経験の説明" sheetId="11" r:id="rId5"/>
    <sheet name="説明" sheetId="14" r:id="rId6"/>
    <sheet name="設定リスト" sheetId="12" state="hidden" r:id="rId7"/>
    <sheet name="計算シート" sheetId="13" state="hidden" r:id="rId8"/>
  </sheets>
  <definedNames>
    <definedName name="④受験可否判定" localSheetId="1">【A】実務経験要件判定シート!$I$95</definedName>
    <definedName name="⑤経過措置による受験可否判定▼a" localSheetId="1">【A】実務経験要件判定シート!$I$100</definedName>
    <definedName name="⑤経過措置による受験可否判定▼b" localSheetId="1">【A】実務経験要件判定シート!$I$104</definedName>
    <definedName name="⑤受験可否判定" localSheetId="1">【A】実務経験要件判定シート!$D$105</definedName>
    <definedName name="_xlnm.Print_Area" localSheetId="1">【A】実務経験要件判定シート!$A$1:$J$108</definedName>
    <definedName name="_xlnm.Print_Area" localSheetId="2">【B】実務経験証明書!$A$1:$J$72</definedName>
    <definedName name="_xlnm.Print_Area" localSheetId="3">【C】誓約書!$A$1:$J$78</definedName>
    <definedName name="_xlnm.Print_Area" localSheetId="4">'【D】管理 指導等実務経験の説明'!$A$1:$Q$35</definedName>
    <definedName name="_xlnm.Print_Area" localSheetId="0">'①実務経験修了者（原本）'!$A$1:$J$83</definedName>
    <definedName name="_xlnm.Print_Area" localSheetId="5">説明!$B:$F</definedName>
    <definedName name="_xlnm.Print_Titles" localSheetId="5">説明!$1:$1</definedName>
    <definedName name="チェック▼必須" localSheetId="1">【A】実務経験要件判定シート!$B$24</definedName>
    <definedName name="飲食料品製造業②管理業務">設定リスト!$N$4:$N$11</definedName>
    <definedName name="飲食料品製造業②管理業務_コスト管理">設定リスト!$P$8:$S$8</definedName>
    <definedName name="飲食料品製造業②管理業務_その他">設定リスト!$P$11</definedName>
    <definedName name="飲食料品製造業②管理業務_安全衛生管理">設定リスト!$P$5:$R$5</definedName>
    <definedName name="飲食料品製造業②管理業務_衛生管理">設定リスト!$P$4:$S$4</definedName>
    <definedName name="飲食料品製造業②管理業務_原材料管理">設定リスト!$P$10:$T$10</definedName>
    <definedName name="飲食料品製造業②管理業務_従業員管理">設定リスト!$P$9:$R$9</definedName>
    <definedName name="飲食料品製造業②管理業務_納期管理">設定リスト!$P$7:$S$7</definedName>
    <definedName name="飲食料品製造業②管理業務_品質管理">設定リスト!$P$6:$W$6</definedName>
    <definedName name="飲食料品製造業③指導業務">設定リスト!$N$14:$N$17</definedName>
    <definedName name="飲食料品製造業③指導業務_その他">設定リスト!$P$17</definedName>
    <definedName name="飲食料品製造業③指導業務_安全指導">設定リスト!$P$16:$R$16</definedName>
    <definedName name="飲食料品製造業③指導業務_衛生指導">設定リスト!$P$15:$S$15</definedName>
    <definedName name="飲食料品製造業③指導業務_作業指導">設定リスト!$P$14:$U$14</definedName>
    <definedName name="外食業②管理業務">設定リスト!$N$20:$N$23</definedName>
    <definedName name="外食業②管理業務_飲食物調理管理">設定リスト!$P$22:$R$22</definedName>
    <definedName name="外食業②管理業務_衛生管理">設定リスト!$P$21:$S$21</definedName>
    <definedName name="外食業②管理業務_接客管理">設定リスト!$P$23:$S$23</definedName>
    <definedName name="外食業②管理業務_店舗管理">設定リスト!$P$20:$V$20</definedName>
    <definedName name="外食業③指導業務">設定リスト!$N$26:$N$30</definedName>
    <definedName name="外食業③指導業務_その他">設定リスト!$P$30</definedName>
    <definedName name="外食業③指導業務_飲食物調理指導">設定リスト!$P$27:$R$27</definedName>
    <definedName name="外食業③指導業務_衛生指導">設定リスト!$P$26:$S$26</definedName>
    <definedName name="外食業③指導業務_接客指導">設定リスト!$P$28:$R$28</definedName>
    <definedName name="外食業③指導業務_店舗運営指導">設定リスト!$P$29:$T$29</definedName>
    <definedName name="企業A▼②管理業務" localSheetId="1">【A】実務経験要件判定シート!$C$38</definedName>
    <definedName name="企業A▼③指導業務" localSheetId="1">【A】実務経験要件判定シート!$C$44</definedName>
    <definedName name="企業A▼開始日" localSheetId="1">【A】実務経験要件判定シート!$D$29</definedName>
    <definedName name="企業A▼企業名" localSheetId="1">【A】実務経験要件判定シート!$D$28</definedName>
    <definedName name="企業A▼終了日" localSheetId="1">【A】実務経験要件判定シート!$D$30</definedName>
    <definedName name="企業A▼人数" localSheetId="1">【A】実務経験要件判定シート!$D$37</definedName>
    <definedName name="企業A▼役職" localSheetId="1">【A】実務経験要件判定シート!$D$35</definedName>
    <definedName name="企業B▼開始日" localSheetId="1">【A】実務経験要件判定シート!$D$51</definedName>
    <definedName name="企業B▼終了日" localSheetId="1">【A】実務経験要件判定シート!$D$52</definedName>
    <definedName name="企業B▼人数" localSheetId="1">【A】実務経験要件判定シート!$D$59</definedName>
    <definedName name="企業B▼役職" localSheetId="1">【A】実務経験要件判定シート!$D$57</definedName>
    <definedName name="企業B▼有フラグ" localSheetId="1">【A】実務経験要件判定シート!$O$50</definedName>
    <definedName name="企業C▼開始日" localSheetId="1">【A】実務経験要件判定シート!$D$73</definedName>
    <definedName name="企業C▼終了日" localSheetId="1">【A】実務経験要件判定シート!$D$74</definedName>
    <definedName name="企業C▼有フラグ" localSheetId="1">【A】実務経験要件判定シート!$O$72</definedName>
    <definedName name="許可を受けた日" localSheetId="1">【A】実務経験要件判定シート!$D$18</definedName>
    <definedName name="業種">【A】実務経験要件判定シート!$D$15</definedName>
    <definedName name="国籍▼地域" localSheetId="1">【A】実務経験要件判定シート!$D$14</definedName>
    <definedName name="事業者名" localSheetId="2">【B】実務経験証明書!$D$68</definedName>
    <definedName name="事業者名" localSheetId="3">【C】誓約書!$D$72</definedName>
    <definedName name="実務経験日数▼補正後" localSheetId="7">計算シート!$L$11</definedName>
    <definedName name="実務経験満了予定日" localSheetId="3">【C】誓約書!$D$63</definedName>
    <definedName name="受験予定日" localSheetId="1">【A】実務経験要件判定シート!$D$26</definedName>
    <definedName name="住所" localSheetId="2">【B】実務経験証明書!$D$69</definedName>
    <definedName name="住所" localSheetId="3">【C】誓約書!$D$73</definedName>
    <definedName name="証明書作成日" localSheetId="2">【B】実務経験証明書!$D$65</definedName>
    <definedName name="証明書作成日" localSheetId="3">【C】誓約書!$D$69</definedName>
    <definedName name="申請区分" localSheetId="1">【A】実務経験要件判定シート!$D$10</definedName>
    <definedName name="生年月日" localSheetId="1">【A】実務経験要件判定シート!$D$13</definedName>
    <definedName name="名前" localSheetId="1">【A】実務経験要件判定シート!$D$12</definedName>
    <definedName name="役職▼証明者氏名" localSheetId="2">【B】実務経験証明書!$D$70</definedName>
    <definedName name="役職▼証明者氏名" localSheetId="3">【C】誓約書!$D$74</definedName>
    <definedName name="連絡先▼メール" localSheetId="2">【B】実務経験証明書!$D$72</definedName>
    <definedName name="連絡先▼メール" localSheetId="3">【C】誓約書!$D$76</definedName>
    <definedName name="連絡先▼電話" localSheetId="2">【B】実務経験証明書!$D$71</definedName>
    <definedName name="連絡先▼電話" localSheetId="3">【C】誓約書!$D$75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0" l="1"/>
  <c r="N24" i="10"/>
  <c r="P28" i="10"/>
  <c r="O10" i="10"/>
  <c r="N30" i="10" s="1"/>
  <c r="N18" i="10"/>
  <c r="E64" i="7"/>
  <c r="Y35" i="13" l="1"/>
  <c r="M63" i="7" l="1"/>
  <c r="H44" i="13"/>
  <c r="L44" i="13"/>
  <c r="J44" i="13"/>
  <c r="D40" i="13"/>
  <c r="C40" i="13"/>
  <c r="E40" i="13" l="1"/>
  <c r="J40" i="13" l="1"/>
  <c r="H40" i="13" l="1"/>
  <c r="L40" i="13"/>
  <c r="M76" i="7" l="1"/>
  <c r="M75" i="7"/>
  <c r="M74" i="7"/>
  <c r="M73" i="7"/>
  <c r="M72" i="7"/>
  <c r="M69" i="7"/>
  <c r="M72" i="6"/>
  <c r="M71" i="6"/>
  <c r="M70" i="6"/>
  <c r="M69" i="6"/>
  <c r="M68" i="6"/>
  <c r="M65" i="6"/>
  <c r="C2" i="14"/>
  <c r="N90" i="10" l="1"/>
  <c r="N89" i="10"/>
  <c r="N84" i="10"/>
  <c r="N83" i="10"/>
  <c r="N81" i="10"/>
  <c r="N79" i="10"/>
  <c r="N74" i="10"/>
  <c r="O73" i="10"/>
  <c r="N73" i="10"/>
  <c r="N72" i="10"/>
  <c r="O72" i="10"/>
  <c r="O50" i="10"/>
  <c r="N68" i="10"/>
  <c r="N67" i="10"/>
  <c r="N62" i="10"/>
  <c r="N61" i="10"/>
  <c r="N59" i="10"/>
  <c r="N57" i="10"/>
  <c r="N52" i="10"/>
  <c r="I66" i="10"/>
  <c r="N51" i="10"/>
  <c r="O51" i="10"/>
  <c r="N29" i="10"/>
  <c r="O29" i="10"/>
  <c r="N50" i="10"/>
  <c r="N46" i="10"/>
  <c r="N45" i="10"/>
  <c r="N40" i="10"/>
  <c r="N39" i="10"/>
  <c r="N37" i="10"/>
  <c r="N35" i="10"/>
  <c r="N28" i="10"/>
  <c r="N26" i="10"/>
  <c r="M18" i="10"/>
  <c r="M35" i="10"/>
  <c r="I88" i="10" l="1"/>
  <c r="I82" i="10"/>
  <c r="I60" i="10"/>
  <c r="I44" i="10"/>
  <c r="D100" i="10"/>
  <c r="I100" i="10" s="1"/>
  <c r="I38" i="10"/>
  <c r="E24" i="12" a="1"/>
  <c r="E24" i="12" s="1"/>
  <c r="I24" i="12"/>
  <c r="E23" i="12" a="1"/>
  <c r="E23" i="12" s="1"/>
  <c r="I23" i="12"/>
  <c r="E22" i="12" a="1"/>
  <c r="E22" i="12" s="1"/>
  <c r="I22" i="12"/>
  <c r="E21" i="12" a="1"/>
  <c r="E21" i="12" s="1"/>
  <c r="I21" i="12"/>
  <c r="E20" i="12" a="1"/>
  <c r="E20" i="12" s="1"/>
  <c r="I20" i="12"/>
  <c r="E19" i="12" a="1"/>
  <c r="E19" i="12" s="1"/>
  <c r="I19" i="12"/>
  <c r="E18" i="12" a="1"/>
  <c r="E18" i="12" s="1"/>
  <c r="I18" i="12"/>
  <c r="E17" i="12" a="1"/>
  <c r="E17" i="12" s="1"/>
  <c r="I17" i="12"/>
  <c r="E16" i="12" a="1"/>
  <c r="E16" i="12" s="1"/>
  <c r="I16" i="12"/>
  <c r="G15" i="12"/>
  <c r="E15" i="12" a="1"/>
  <c r="E15" i="12" s="1"/>
  <c r="I15" i="12"/>
  <c r="E14" i="12" a="1"/>
  <c r="E14" i="12" s="1"/>
  <c r="I14" i="12"/>
  <c r="L33" i="13"/>
  <c r="J33" i="13"/>
  <c r="H33" i="13"/>
  <c r="L22" i="13"/>
  <c r="J22" i="13"/>
  <c r="H22" i="13"/>
  <c r="N15" i="10" l="1"/>
  <c r="N14" i="10"/>
  <c r="N13" i="10"/>
  <c r="N12" i="10"/>
  <c r="N10" i="10"/>
  <c r="G13" i="12"/>
  <c r="E13" i="12" a="1"/>
  <c r="E13" i="12" s="1"/>
  <c r="I13" i="12"/>
  <c r="G12" i="12"/>
  <c r="E12" i="12" a="1"/>
  <c r="E12" i="12" s="1"/>
  <c r="I12" i="12"/>
  <c r="G11" i="12"/>
  <c r="E11" i="12" a="1"/>
  <c r="E11" i="12" s="1"/>
  <c r="I11" i="12"/>
  <c r="G10" i="12"/>
  <c r="E10" i="12" a="1"/>
  <c r="E10" i="12" s="1"/>
  <c r="I10" i="12"/>
  <c r="E9" i="12" l="1" a="1"/>
  <c r="E9" i="12" s="1"/>
  <c r="I9" i="12"/>
  <c r="E8" i="12" a="1"/>
  <c r="E8" i="12" s="1"/>
  <c r="I8" i="12"/>
  <c r="E7" i="12" a="1"/>
  <c r="E7" i="12" s="1"/>
  <c r="I7" i="12"/>
  <c r="E6" i="12" a="1"/>
  <c r="E6" i="12" s="1"/>
  <c r="I6" i="12"/>
  <c r="E5" i="12" a="1"/>
  <c r="E5" i="12" s="1"/>
  <c r="I5" i="12"/>
  <c r="I2" i="12"/>
  <c r="I3" i="12"/>
  <c r="I4" i="12"/>
  <c r="E4" i="12" a="1"/>
  <c r="E4" i="12" s="1"/>
  <c r="E3" i="12" a="1"/>
  <c r="E3" i="12" s="1"/>
  <c r="E2" i="12" a="1"/>
  <c r="E2" i="12" s="1"/>
  <c r="B2" i="14" a="1"/>
  <c r="B2" i="14" s="1"/>
  <c r="A2" i="14" s="1"/>
  <c r="M105" i="10" l="1"/>
  <c r="M104" i="10"/>
  <c r="M100" i="10"/>
  <c r="M95" i="10"/>
  <c r="C18" i="14"/>
  <c r="B18" i="14" a="1"/>
  <c r="B18" i="14" s="1"/>
  <c r="C17" i="14"/>
  <c r="B17" i="14" a="1"/>
  <c r="B17" i="14" s="1"/>
  <c r="B16" i="14" a="1"/>
  <c r="B16" i="14" s="1"/>
  <c r="B15" i="14" a="1"/>
  <c r="B15" i="14" s="1"/>
  <c r="B14" i="14" a="1"/>
  <c r="B14" i="14" s="1"/>
  <c r="B13" i="14" a="1"/>
  <c r="B13" i="14" s="1"/>
  <c r="B12" i="14" a="1"/>
  <c r="B12" i="14" s="1"/>
  <c r="B11" i="14" a="1"/>
  <c r="B11" i="14" s="1"/>
  <c r="B10" i="14" a="1"/>
  <c r="B10" i="14" s="1"/>
  <c r="B9" i="14" a="1"/>
  <c r="B9" i="14" s="1"/>
  <c r="B8" i="14" a="1"/>
  <c r="B8" i="14" s="1"/>
  <c r="B7" i="14" a="1"/>
  <c r="B7" i="14" s="1"/>
  <c r="B6" i="14" a="1"/>
  <c r="B6" i="14" s="1"/>
  <c r="B5" i="14" a="1"/>
  <c r="B5" i="14" s="1"/>
  <c r="B4" i="14" a="1"/>
  <c r="B4" i="14" s="1"/>
  <c r="B3" i="14" a="1"/>
  <c r="B3" i="14" s="1"/>
  <c r="C16" i="14"/>
  <c r="C15" i="14"/>
  <c r="C14" i="14"/>
  <c r="C13" i="14"/>
  <c r="M46" i="10"/>
  <c r="M45" i="10"/>
  <c r="M40" i="10"/>
  <c r="M39" i="10"/>
  <c r="C12" i="14"/>
  <c r="M37" i="10"/>
  <c r="M30" i="10"/>
  <c r="M29" i="10"/>
  <c r="M28" i="10"/>
  <c r="M26" i="10"/>
  <c r="M24" i="10"/>
  <c r="M15" i="10"/>
  <c r="M14" i="10"/>
  <c r="M13" i="10"/>
  <c r="M12" i="10"/>
  <c r="M10" i="10"/>
  <c r="C11" i="14"/>
  <c r="C10" i="14"/>
  <c r="C9" i="14"/>
  <c r="C8" i="14"/>
  <c r="C7" i="14"/>
  <c r="C6" i="14"/>
  <c r="C5" i="14"/>
  <c r="C4" i="14"/>
  <c r="C3" i="14"/>
  <c r="A13" i="14" l="1"/>
  <c r="A17" i="14"/>
  <c r="A12" i="14"/>
  <c r="A10" i="14"/>
  <c r="A15" i="14"/>
  <c r="A16" i="14"/>
  <c r="A18" i="14"/>
  <c r="A14" i="14"/>
  <c r="A7" i="14"/>
  <c r="A6" i="14"/>
  <c r="A11" i="14"/>
  <c r="A8" i="14"/>
  <c r="A9" i="14"/>
  <c r="A5" i="14"/>
  <c r="A4" i="14"/>
  <c r="A3" i="14"/>
  <c r="C17" i="13" l="1"/>
  <c r="E30" i="13"/>
  <c r="E29" i="13"/>
  <c r="H29" i="13"/>
  <c r="J29" i="13"/>
  <c r="L29" i="13"/>
  <c r="H30" i="13"/>
  <c r="J30" i="13"/>
  <c r="L30" i="13"/>
  <c r="E19" i="13"/>
  <c r="L18" i="13"/>
  <c r="D17" i="13" l="1"/>
  <c r="E17" i="13" s="1"/>
  <c r="O100" i="10"/>
  <c r="P100" i="10"/>
  <c r="E18" i="13"/>
  <c r="H19" i="13"/>
  <c r="H18" i="13"/>
  <c r="J19" i="13"/>
  <c r="J18" i="13"/>
  <c r="L19" i="13"/>
  <c r="L17" i="13" l="1"/>
  <c r="L20" i="13" s="1"/>
  <c r="J17" i="13"/>
  <c r="H17" i="13"/>
  <c r="H20" i="13" s="1"/>
  <c r="E20" i="13"/>
  <c r="J21" i="13" l="1"/>
  <c r="J23" i="13" s="1"/>
  <c r="L21" i="13"/>
  <c r="L23" i="13" s="1"/>
  <c r="J20" i="13"/>
  <c r="H21" i="13" s="1"/>
  <c r="H23" i="13" s="1"/>
  <c r="L24" i="13" l="1"/>
  <c r="O21" i="13"/>
  <c r="G60" i="7"/>
  <c r="D60" i="7"/>
  <c r="G59" i="7"/>
  <c r="D59" i="7"/>
  <c r="G57" i="7"/>
  <c r="D57" i="7"/>
  <c r="G56" i="7"/>
  <c r="D56" i="7"/>
  <c r="D54" i="7"/>
  <c r="D52" i="7"/>
  <c r="D50" i="7"/>
  <c r="D49" i="7"/>
  <c r="D48" i="7"/>
  <c r="G46" i="7"/>
  <c r="D46" i="7"/>
  <c r="G45" i="7"/>
  <c r="D45" i="7"/>
  <c r="G43" i="7"/>
  <c r="D43" i="7"/>
  <c r="G42" i="7"/>
  <c r="D42" i="7"/>
  <c r="D40" i="7"/>
  <c r="D38" i="7"/>
  <c r="D36" i="7"/>
  <c r="D35" i="7"/>
  <c r="D34" i="7"/>
  <c r="G32" i="7"/>
  <c r="D32" i="7"/>
  <c r="G31" i="7"/>
  <c r="D31" i="7"/>
  <c r="G29" i="7"/>
  <c r="D29" i="7"/>
  <c r="G28" i="7"/>
  <c r="D28" i="7"/>
  <c r="D26" i="7"/>
  <c r="D24" i="7"/>
  <c r="D22" i="7"/>
  <c r="D21" i="7"/>
  <c r="D20" i="7"/>
  <c r="G60" i="6"/>
  <c r="D60" i="6"/>
  <c r="G59" i="6"/>
  <c r="D59" i="6"/>
  <c r="D57" i="6"/>
  <c r="G57" i="6"/>
  <c r="G56" i="6"/>
  <c r="D56" i="6"/>
  <c r="D54" i="6"/>
  <c r="D52" i="6"/>
  <c r="D48" i="6"/>
  <c r="D50" i="6"/>
  <c r="D6" i="13" a="1"/>
  <c r="D6" i="13" s="1"/>
  <c r="D49" i="6"/>
  <c r="D34" i="6"/>
  <c r="G46" i="6"/>
  <c r="G45" i="6"/>
  <c r="D45" i="6"/>
  <c r="D46" i="6"/>
  <c r="D43" i="6"/>
  <c r="G43" i="6"/>
  <c r="G42" i="6"/>
  <c r="D42" i="6"/>
  <c r="D40" i="6"/>
  <c r="D38" i="6"/>
  <c r="D20" i="6"/>
  <c r="D36" i="6"/>
  <c r="D35" i="6"/>
  <c r="G32" i="6"/>
  <c r="G31" i="6"/>
  <c r="G29" i="6"/>
  <c r="D32" i="6"/>
  <c r="D31" i="6"/>
  <c r="D29" i="6"/>
  <c r="G28" i="6"/>
  <c r="D28" i="6"/>
  <c r="D26" i="6"/>
  <c r="D24" i="6"/>
  <c r="D22" i="6"/>
  <c r="D21" i="6"/>
  <c r="D17" i="6" l="1"/>
  <c r="D13" i="6"/>
  <c r="D12" i="6"/>
  <c r="D11" i="6"/>
  <c r="D10" i="6"/>
  <c r="C6" i="13" l="1"/>
  <c r="E6" i="13" s="1"/>
  <c r="D5" i="13"/>
  <c r="C5" i="13"/>
  <c r="D4" i="13"/>
  <c r="C4" i="13"/>
  <c r="D78" i="10"/>
  <c r="D56" i="10"/>
  <c r="D19" i="10"/>
  <c r="D28" i="13" s="1"/>
  <c r="C28" i="13" s="1"/>
  <c r="E28" i="13" s="1"/>
  <c r="E4" i="13" l="1"/>
  <c r="D37" i="7"/>
  <c r="D37" i="6"/>
  <c r="D51" i="6"/>
  <c r="D51" i="7"/>
  <c r="D20" i="10"/>
  <c r="D23" i="6"/>
  <c r="D23" i="7"/>
  <c r="E5" i="13"/>
  <c r="H4" i="13"/>
  <c r="H5" i="13"/>
  <c r="J4" i="13"/>
  <c r="L6" i="13"/>
  <c r="L4" i="13"/>
  <c r="J5" i="13"/>
  <c r="J6" i="13"/>
  <c r="L5" i="13"/>
  <c r="H6" i="13"/>
  <c r="E31" i="13" l="1"/>
  <c r="J28" i="13"/>
  <c r="L28" i="13"/>
  <c r="H28" i="13"/>
  <c r="H31" i="13" s="1"/>
  <c r="H7" i="13"/>
  <c r="L8" i="13"/>
  <c r="L7" i="13"/>
  <c r="J8" i="13" s="1"/>
  <c r="E7" i="13"/>
  <c r="E42" i="13" s="1"/>
  <c r="L10" i="13" l="1"/>
  <c r="L41" i="13"/>
  <c r="J10" i="13"/>
  <c r="J41" i="13"/>
  <c r="L31" i="13"/>
  <c r="L32" i="13"/>
  <c r="V34" i="13" s="1"/>
  <c r="V35" i="13" s="1"/>
  <c r="J7" i="13"/>
  <c r="H8" i="13" s="1"/>
  <c r="L42" i="13" l="1"/>
  <c r="J42" i="13" s="1"/>
  <c r="L43" i="13"/>
  <c r="L45" i="13" s="1"/>
  <c r="J32" i="13"/>
  <c r="J34" i="13" s="1"/>
  <c r="J31" i="13"/>
  <c r="H32" i="13" s="1"/>
  <c r="H34" i="13" s="1"/>
  <c r="H10" i="13"/>
  <c r="L11" i="13" s="1"/>
  <c r="H41" i="13"/>
  <c r="H42" i="13" s="1"/>
  <c r="L34" i="13"/>
  <c r="O8" i="13"/>
  <c r="A1" i="7"/>
  <c r="A1" i="6"/>
  <c r="D95" i="10" l="1"/>
  <c r="I95" i="10" s="1"/>
  <c r="L13" i="13"/>
  <c r="H43" i="13"/>
  <c r="H45" i="13" s="1"/>
  <c r="J43" i="13"/>
  <c r="J45" i="13" s="1"/>
  <c r="O33" i="13"/>
  <c r="O34" i="13" s="1"/>
  <c r="L35" i="13"/>
  <c r="O32" i="13"/>
  <c r="D10" i="7"/>
  <c r="O43" i="13" l="1"/>
  <c r="D65" i="7" s="1"/>
  <c r="L46" i="13"/>
  <c r="R34" i="13"/>
  <c r="R35" i="13" s="1"/>
  <c r="T34" i="13"/>
  <c r="T35" i="13" s="1"/>
  <c r="D62" i="6"/>
  <c r="D104" i="10"/>
  <c r="D12" i="7"/>
  <c r="D13" i="7"/>
  <c r="D11" i="7"/>
  <c r="Y34" i="13" l="1"/>
  <c r="AA34" i="13"/>
  <c r="D17" i="7"/>
  <c r="Y36" i="13" l="1"/>
  <c r="I104" i="10" s="1"/>
  <c r="D105" i="10" s="1"/>
  <c r="AA36" i="13"/>
  <c r="D103" i="10" s="1"/>
  <c r="D62" i="7"/>
  <c r="D31" i="8" l="1"/>
  <c r="D29" i="8"/>
  <c r="D26" i="8"/>
  <c r="D22" i="8"/>
  <c r="D16" i="8"/>
  <c r="D73" i="8" s="1"/>
  <c r="I31" i="8"/>
  <c r="P105" i="10" l="1"/>
  <c r="O105" i="10"/>
  <c r="P95" i="10"/>
  <c r="O95" i="10"/>
  <c r="P104" i="10"/>
  <c r="O104" i="10"/>
  <c r="D72" i="8"/>
  <c r="L31" i="8"/>
  <c r="D39" i="8"/>
  <c r="D43" i="8"/>
  <c r="J51" i="8"/>
  <c r="D57" i="8"/>
  <c r="D59" i="8" s="1"/>
  <c r="D51" i="8"/>
  <c r="D17" i="8" l="1"/>
  <c r="I39" i="8"/>
  <c r="D42" i="8"/>
  <c r="I43" i="8" s="1"/>
  <c r="D53" i="8"/>
  <c r="I54" i="8" s="1"/>
  <c r="I59" i="8"/>
  <c r="I45" i="8" l="1"/>
  <c r="D54" i="8"/>
  <c r="J54" i="8"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<sst xmlns="http://schemas.openxmlformats.org/spreadsheetml/2006/main" count="877" uniqueCount="428">
  <si>
    <r>
      <rPr>
        <b/>
        <sz val="12"/>
        <rFont val="Meiryo UI"/>
        <family val="3"/>
        <charset val="128"/>
      </rPr>
      <t>管理等実務経験または指導等実務経験（以下、実務経験）を</t>
    </r>
    <r>
      <rPr>
        <b/>
        <sz val="12"/>
        <color rgb="FFFF0000"/>
        <rFont val="Meiryo UI"/>
        <family val="3"/>
        <charset val="128"/>
      </rPr>
      <t>有する人</t>
    </r>
    <r>
      <rPr>
        <sz val="12"/>
        <rFont val="Meiryo UI"/>
        <family val="3"/>
        <charset val="128"/>
      </rPr>
      <t>はこちらを記入</t>
    </r>
    <rPh sb="3" eb="5">
      <t>ジツム</t>
    </rPh>
    <rPh sb="5" eb="7">
      <t>ケイケン</t>
    </rPh>
    <rPh sb="10" eb="12">
      <t>シドウ</t>
    </rPh>
    <rPh sb="12" eb="13">
      <t>トウ</t>
    </rPh>
    <rPh sb="18" eb="20">
      <t>イカ</t>
    </rPh>
    <rPh sb="21" eb="23">
      <t>ジツム</t>
    </rPh>
    <rPh sb="23" eb="25">
      <t>ケイケン</t>
    </rPh>
    <rPh sb="27" eb="28">
      <t>ユウ</t>
    </rPh>
    <rPh sb="30" eb="31">
      <t>ヒト</t>
    </rPh>
    <rPh sb="36" eb="38">
      <t>キニュウ</t>
    </rPh>
    <phoneticPr fontId="1"/>
  </si>
  <si>
    <r>
      <t>※</t>
    </r>
    <r>
      <rPr>
        <b/>
        <sz val="12"/>
        <color rgb="FF00B0F0"/>
        <rFont val="Meiryo UI"/>
        <family val="3"/>
        <charset val="128"/>
      </rPr>
      <t>水色部分を記入</t>
    </r>
    <r>
      <rPr>
        <b/>
        <sz val="12"/>
        <color theme="0"/>
        <rFont val="Meiryo UI"/>
        <family val="3"/>
        <charset val="128"/>
      </rPr>
      <t>ください,</t>
    </r>
    <r>
      <rPr>
        <b/>
        <sz val="12"/>
        <color rgb="FFFFFF00"/>
        <rFont val="Meiryo UI"/>
        <family val="3"/>
        <charset val="128"/>
      </rPr>
      <t>黄色部分は自動入力・計算</t>
    </r>
    <r>
      <rPr>
        <b/>
        <sz val="12"/>
        <color theme="0"/>
        <rFont val="Meiryo UI"/>
        <family val="3"/>
        <charset val="128"/>
      </rPr>
      <t>されます</t>
    </r>
    <rPh sb="1" eb="3">
      <t>ミズイロ</t>
    </rPh>
    <rPh sb="3" eb="5">
      <t>ブブン</t>
    </rPh>
    <rPh sb="6" eb="8">
      <t>キニュウ</t>
    </rPh>
    <rPh sb="13" eb="15">
      <t>キイロ</t>
    </rPh>
    <rPh sb="15" eb="17">
      <t>ブブン</t>
    </rPh>
    <rPh sb="18" eb="20">
      <t>ジドウ</t>
    </rPh>
    <rPh sb="20" eb="22">
      <t>ニュウリョク</t>
    </rPh>
    <rPh sb="23" eb="25">
      <t>ケイサン</t>
    </rPh>
    <phoneticPr fontId="1"/>
  </si>
  <si>
    <t>外国人食品産業技能評価機構宛</t>
    <rPh sb="0" eb="3">
      <t>ガイコクジン</t>
    </rPh>
    <rPh sb="3" eb="7">
      <t>ショクヒンサンギョウ</t>
    </rPh>
    <rPh sb="7" eb="9">
      <t>ギノウ</t>
    </rPh>
    <rPh sb="9" eb="11">
      <t>ヒョウカ</t>
    </rPh>
    <rPh sb="11" eb="13">
      <t>キコウ</t>
    </rPh>
    <rPh sb="13" eb="14">
      <t>アテ</t>
    </rPh>
    <phoneticPr fontId="1"/>
  </si>
  <si>
    <t>入力人法,実務経験等</t>
    <rPh sb="5" eb="7">
      <t>ジツム</t>
    </rPh>
    <rPh sb="7" eb="9">
      <t>ケイケン</t>
    </rPh>
    <rPh sb="9" eb="10">
      <t>トウ</t>
    </rPh>
    <phoneticPr fontId="1"/>
  </si>
  <si>
    <t>●特定技能1号の人 
１　以下の①、②及び③を記入してください。
２　③ｃ)で「実務経験期間」を満たしている人→⑤～⑧を入力。
　 　③ｃ)で「実務経験期間」を満たしていない人→④を入力
　　　　→④a),ｂ)を全て満たす人→経過措置として、実務経験が修了したと見なされます。   ⑤～⑧を入力。
　　　　→④a),ｂ)のどちらか1つ以上の条件を満たさない人→は経過措置の対象者に該当しません。
            　「管理等実務経験または指導等実務経験（以下、実務経験）を修了見込みの人」（別シート）の入力を行ってください。
●特定技能1号以外の人
１　以下の①及び③を記入してください。
２　③c)で「実務経験期間」を満たしている人→⑤～⑧を入力。
　　 ③c)で「実務経験期間」を満たしていない人→「管理棟実務経験または指導等実務経験（以下実務経験）を修了見込みの人」
     　　　　　　　　　　　　　　　　　　　　　　　　　　　(別シート）の入力を行ってください。</t>
    <rPh sb="113" eb="115">
      <t>ケイカ</t>
    </rPh>
    <rPh sb="115" eb="117">
      <t>ソチ</t>
    </rPh>
    <rPh sb="121" eb="125">
      <t>ジツムケイケン</t>
    </rPh>
    <rPh sb="126" eb="128">
      <t>シュウリョウ</t>
    </rPh>
    <rPh sb="131" eb="132">
      <t>ミ</t>
    </rPh>
    <rPh sb="167" eb="169">
      <t>イジョウ</t>
    </rPh>
    <phoneticPr fontId="1"/>
  </si>
  <si>
    <t>農林水産省、入管庁発表の試験実施要領はこちら　　https://</t>
    <rPh sb="0" eb="5">
      <t>ノウリンスイサンショウ</t>
    </rPh>
    <rPh sb="6" eb="9">
      <t>ニュウカンチョウ</t>
    </rPh>
    <rPh sb="9" eb="11">
      <t>ハッピョウ</t>
    </rPh>
    <rPh sb="12" eb="14">
      <t>シケン</t>
    </rPh>
    <rPh sb="14" eb="16">
      <t>ジッシ</t>
    </rPh>
    <rPh sb="16" eb="18">
      <t>ヨウリョウ</t>
    </rPh>
    <phoneticPr fontId="1"/>
  </si>
  <si>
    <t>証明書作成日（YYYY/MM/DD)</t>
    <rPh sb="0" eb="3">
      <t>ショウメイショ</t>
    </rPh>
    <rPh sb="3" eb="5">
      <t>サクセイ</t>
    </rPh>
    <rPh sb="5" eb="6">
      <t>ビ</t>
    </rPh>
    <phoneticPr fontId="1"/>
  </si>
  <si>
    <t>①受験者</t>
    <rPh sb="1" eb="4">
      <t>ジュケンシャ</t>
    </rPh>
    <phoneticPr fontId="1"/>
  </si>
  <si>
    <t>名        　　 前</t>
    <rPh sb="0" eb="1">
      <t>メイ</t>
    </rPh>
    <rPh sb="12" eb="13">
      <t>マエ</t>
    </rPh>
    <phoneticPr fontId="1"/>
  </si>
  <si>
    <t>OTAFF　JIRO</t>
    <phoneticPr fontId="1"/>
  </si>
  <si>
    <t>生　年　月　日</t>
    <rPh sb="0" eb="1">
      <t>セイ</t>
    </rPh>
    <rPh sb="2" eb="3">
      <t>ネン</t>
    </rPh>
    <rPh sb="4" eb="5">
      <t>ガツ</t>
    </rPh>
    <rPh sb="6" eb="7">
      <t>ヒ</t>
    </rPh>
    <phoneticPr fontId="1"/>
  </si>
  <si>
    <t>国　籍　・　地　域</t>
    <rPh sb="0" eb="1">
      <t>クニ</t>
    </rPh>
    <rPh sb="2" eb="3">
      <t>セキ</t>
    </rPh>
    <rPh sb="6" eb="7">
      <t>チ</t>
    </rPh>
    <rPh sb="8" eb="9">
      <t>イキ</t>
    </rPh>
    <phoneticPr fontId="1"/>
  </si>
  <si>
    <t>ミャンマー</t>
    <phoneticPr fontId="1"/>
  </si>
  <si>
    <t>➁</t>
    <phoneticPr fontId="1"/>
  </si>
  <si>
    <r>
      <t>「特定技能１号」として初めて上陸許可又は在留資格変更許可を受けた日（在留資格が特定技能１号の人のみ）　</t>
    </r>
    <r>
      <rPr>
        <b/>
        <sz val="12"/>
        <color rgb="FFFF0000"/>
        <rFont val="Meiryo UI"/>
        <family val="3"/>
        <charset val="128"/>
      </rPr>
      <t>※在留カード等で確認できます。</t>
    </r>
    <rPh sb="1" eb="3">
      <t>トクテイ</t>
    </rPh>
    <rPh sb="3" eb="5">
      <t>ギノウ</t>
    </rPh>
    <rPh sb="6" eb="7">
      <t>ゴウ</t>
    </rPh>
    <rPh sb="11" eb="12">
      <t>ハジ</t>
    </rPh>
    <rPh sb="14" eb="16">
      <t>ジョウリク</t>
    </rPh>
    <rPh sb="16" eb="18">
      <t>キョカ</t>
    </rPh>
    <rPh sb="18" eb="19">
      <t>マタ</t>
    </rPh>
    <rPh sb="20" eb="22">
      <t>ザイリュウ</t>
    </rPh>
    <rPh sb="22" eb="24">
      <t>シカク</t>
    </rPh>
    <rPh sb="24" eb="26">
      <t>ヘンコウ</t>
    </rPh>
    <rPh sb="26" eb="28">
      <t>キョカ</t>
    </rPh>
    <rPh sb="29" eb="30">
      <t>ウ</t>
    </rPh>
    <rPh sb="32" eb="33">
      <t>ヒ</t>
    </rPh>
    <rPh sb="34" eb="36">
      <t>ザイリュウ</t>
    </rPh>
    <rPh sb="36" eb="38">
      <t>シカク</t>
    </rPh>
    <rPh sb="39" eb="41">
      <t>トクテイ</t>
    </rPh>
    <rPh sb="41" eb="43">
      <t>ギノウ</t>
    </rPh>
    <rPh sb="44" eb="45">
      <t>ゴウ</t>
    </rPh>
    <rPh sb="46" eb="47">
      <t>ヒト</t>
    </rPh>
    <phoneticPr fontId="1"/>
  </si>
  <si>
    <t>（記入形式：YYYY年MM月DD日→YYYY/MM/DD）</t>
    <rPh sb="1" eb="3">
      <t>キニュウ</t>
    </rPh>
    <rPh sb="3" eb="5">
      <t>ケイシキ</t>
    </rPh>
    <phoneticPr fontId="1"/>
  </si>
  <si>
    <t>在留上限日</t>
    <rPh sb="0" eb="2">
      <t>ザイリュウ</t>
    </rPh>
    <rPh sb="2" eb="4">
      <t>ジョウゲン</t>
    </rPh>
    <rPh sb="4" eb="5">
      <t>ビ</t>
    </rPh>
    <phoneticPr fontId="1"/>
  </si>
  <si>
    <t>(自動計算）</t>
    <rPh sb="3" eb="5">
      <t>ケイサン</t>
    </rPh>
    <phoneticPr fontId="1"/>
  </si>
  <si>
    <t>在留上限までの期間</t>
    <rPh sb="0" eb="2">
      <t>ザイリュウ</t>
    </rPh>
    <rPh sb="2" eb="4">
      <t>ジョウゲン</t>
    </rPh>
    <rPh sb="7" eb="9">
      <t>キカン</t>
    </rPh>
    <phoneticPr fontId="1"/>
  </si>
  <si>
    <t>③実務経験期間</t>
    <rPh sb="1" eb="5">
      <t>ジツムケイケン</t>
    </rPh>
    <rPh sb="5" eb="7">
      <t>キカン</t>
    </rPh>
    <phoneticPr fontId="1"/>
  </si>
  <si>
    <t>a)企業甲</t>
    <rPh sb="2" eb="4">
      <t>キギョウ</t>
    </rPh>
    <rPh sb="4" eb="5">
      <t>コウ</t>
    </rPh>
    <phoneticPr fontId="1"/>
  </si>
  <si>
    <t>開始日</t>
    <rPh sb="0" eb="3">
      <t>カイシビ</t>
    </rPh>
    <phoneticPr fontId="1"/>
  </si>
  <si>
    <t>b）</t>
    <phoneticPr fontId="1"/>
  </si>
  <si>
    <t>終了日</t>
    <rPh sb="0" eb="3">
      <t>シュウリョウビ</t>
    </rPh>
    <phoneticPr fontId="1"/>
  </si>
  <si>
    <t>c)</t>
    <phoneticPr fontId="1"/>
  </si>
  <si>
    <t>実務経験期間</t>
    <rPh sb="0" eb="2">
      <t>ジツム</t>
    </rPh>
    <rPh sb="2" eb="4">
      <t>ケイケン</t>
    </rPh>
    <rPh sb="4" eb="6">
      <t>キカン</t>
    </rPh>
    <phoneticPr fontId="1"/>
  </si>
  <si>
    <t>d)企業乙</t>
    <rPh sb="2" eb="4">
      <t>キギョウ</t>
    </rPh>
    <rPh sb="4" eb="5">
      <t>オツ</t>
    </rPh>
    <phoneticPr fontId="1"/>
  </si>
  <si>
    <t>e)</t>
    <phoneticPr fontId="1"/>
  </si>
  <si>
    <t>f)</t>
    <phoneticPr fontId="1"/>
  </si>
  <si>
    <t>g)企業丙</t>
    <rPh sb="2" eb="4">
      <t>キギョウ</t>
    </rPh>
    <rPh sb="4" eb="5">
      <t>ヘイ</t>
    </rPh>
    <phoneticPr fontId="1"/>
  </si>
  <si>
    <t>h)</t>
    <phoneticPr fontId="1"/>
  </si>
  <si>
    <t>i)</t>
    <phoneticPr fontId="1"/>
  </si>
  <si>
    <t>j)合計実務経験期間</t>
    <rPh sb="2" eb="4">
      <t>ゴウケイ</t>
    </rPh>
    <rPh sb="4" eb="6">
      <t>ジツム</t>
    </rPh>
    <rPh sb="6" eb="8">
      <t>ケイケン</t>
    </rPh>
    <rPh sb="8" eb="10">
      <t>キカン</t>
    </rPh>
    <phoneticPr fontId="1"/>
  </si>
  <si>
    <t>判定</t>
    <rPh sb="0" eb="2">
      <t>ハンテイ</t>
    </rPh>
    <phoneticPr fontId="1"/>
  </si>
  <si>
    <t>④特定技能１号の在留資格者で、条件aとbの両方に当てはまる人は、実務経験期間に関する経過措置が適応され、
　 実務経験が終了していると同等に扱われます。</t>
    <rPh sb="1" eb="3">
      <t>トクテイ</t>
    </rPh>
    <rPh sb="3" eb="5">
      <t>ギノウ</t>
    </rPh>
    <rPh sb="6" eb="7">
      <t>ゴウ</t>
    </rPh>
    <rPh sb="8" eb="10">
      <t>ザイリュウ</t>
    </rPh>
    <rPh sb="10" eb="13">
      <t>シカクシャ</t>
    </rPh>
    <rPh sb="15" eb="17">
      <t>ジョウケン</t>
    </rPh>
    <rPh sb="21" eb="23">
      <t>リョウホウ</t>
    </rPh>
    <rPh sb="24" eb="25">
      <t>ア</t>
    </rPh>
    <rPh sb="29" eb="30">
      <t>ヒト</t>
    </rPh>
    <rPh sb="36" eb="38">
      <t>キカン</t>
    </rPh>
    <rPh sb="39" eb="40">
      <t>カン</t>
    </rPh>
    <rPh sb="47" eb="49">
      <t>テキオウ</t>
    </rPh>
    <rPh sb="55" eb="57">
      <t>ジツム</t>
    </rPh>
    <rPh sb="57" eb="59">
      <t>ケイケン</t>
    </rPh>
    <rPh sb="60" eb="62">
      <t>シュウリョウ</t>
    </rPh>
    <rPh sb="67" eb="69">
      <t>ドウトウ</t>
    </rPh>
    <rPh sb="70" eb="71">
      <t>アツカ</t>
    </rPh>
    <phoneticPr fontId="1"/>
  </si>
  <si>
    <t>特定技能以外の在留資格の人や、特定技能でも条件a～dの１つでも該当しない項目がある人は、受験者登録はできません</t>
    <rPh sb="0" eb="2">
      <t>トクテイ</t>
    </rPh>
    <rPh sb="2" eb="4">
      <t>ギノウ</t>
    </rPh>
    <rPh sb="4" eb="6">
      <t>イガイ</t>
    </rPh>
    <rPh sb="7" eb="9">
      <t>ザイリュウ</t>
    </rPh>
    <rPh sb="9" eb="11">
      <t>シカク</t>
    </rPh>
    <rPh sb="12" eb="13">
      <t>ヒト</t>
    </rPh>
    <rPh sb="15" eb="17">
      <t>トクテイ</t>
    </rPh>
    <rPh sb="17" eb="19">
      <t>ギノウ</t>
    </rPh>
    <rPh sb="21" eb="23">
      <t>ジョウケン</t>
    </rPh>
    <phoneticPr fontId="1"/>
  </si>
  <si>
    <r>
      <rPr>
        <sz val="12"/>
        <color theme="1"/>
        <rFont val="Meiryo UI"/>
        <family val="3"/>
        <charset val="128"/>
      </rPr>
      <t>a)特定技能１号での</t>
    </r>
    <r>
      <rPr>
        <b/>
        <sz val="12"/>
        <color theme="1"/>
        <rFont val="Meiryo UI"/>
        <family val="3"/>
        <charset val="128"/>
      </rPr>
      <t>在留期間が２年６ヶ月以上</t>
    </r>
    <r>
      <rPr>
        <sz val="12"/>
        <color theme="1"/>
        <rFont val="Meiryo UI"/>
        <family val="3"/>
        <charset val="128"/>
      </rPr>
      <t>あること</t>
    </r>
    <rPh sb="2" eb="4">
      <t>トクテイ</t>
    </rPh>
    <rPh sb="4" eb="6">
      <t>ギノウ</t>
    </rPh>
    <rPh sb="7" eb="8">
      <t>ゴウ</t>
    </rPh>
    <rPh sb="10" eb="12">
      <t>ザイリュウ</t>
    </rPh>
    <rPh sb="12" eb="14">
      <t>キカン</t>
    </rPh>
    <rPh sb="16" eb="17">
      <t>ネン</t>
    </rPh>
    <rPh sb="19" eb="20">
      <t>ゲツ</t>
    </rPh>
    <rPh sb="20" eb="22">
      <t>イジョウ</t>
    </rPh>
    <phoneticPr fontId="1"/>
  </si>
  <si>
    <t>特定技能１号での在留期間</t>
    <rPh sb="0" eb="2">
      <t>トクテイ</t>
    </rPh>
    <rPh sb="2" eb="4">
      <t>ギノウ</t>
    </rPh>
    <rPh sb="5" eb="6">
      <t>ゴウ</t>
    </rPh>
    <rPh sb="8" eb="10">
      <t>ザイリュウ</t>
    </rPh>
    <rPh sb="10" eb="12">
      <t>キカン</t>
    </rPh>
    <phoneticPr fontId="1"/>
  </si>
  <si>
    <t>（自動計算）</t>
    <rPh sb="1" eb="3">
      <t>ジドウ</t>
    </rPh>
    <rPh sb="3" eb="5">
      <t>ケイサン</t>
    </rPh>
    <phoneticPr fontId="1"/>
  </si>
  <si>
    <t>b)実務経験期間が、必要な実務経験期間より長いこと</t>
    <rPh sb="2" eb="4">
      <t>ジツム</t>
    </rPh>
    <rPh sb="4" eb="6">
      <t>ケイケン</t>
    </rPh>
    <rPh sb="6" eb="8">
      <t>キカン</t>
    </rPh>
    <rPh sb="10" eb="12">
      <t>ヒツヨウ</t>
    </rPh>
    <rPh sb="13" eb="15">
      <t>ジツム</t>
    </rPh>
    <rPh sb="15" eb="17">
      <t>ケイケン</t>
    </rPh>
    <rPh sb="17" eb="19">
      <t>キカン</t>
    </rPh>
    <rPh sb="21" eb="22">
      <t>ナガ</t>
    </rPh>
    <phoneticPr fontId="1"/>
  </si>
  <si>
    <t xml:space="preserve">    必要な実務経験期間</t>
    <rPh sb="4" eb="6">
      <t>ヒツヨウ</t>
    </rPh>
    <rPh sb="7" eb="9">
      <t>ジツム</t>
    </rPh>
    <rPh sb="9" eb="11">
      <t>ケイケン</t>
    </rPh>
    <rPh sb="11" eb="13">
      <t>キカン</t>
    </rPh>
    <phoneticPr fontId="1"/>
  </si>
  <si>
    <t xml:space="preserve">    修了した実務経験期間</t>
    <rPh sb="4" eb="6">
      <t>シュウリョウ</t>
    </rPh>
    <phoneticPr fontId="1"/>
  </si>
  <si>
    <t>最終判定</t>
    <rPh sb="0" eb="4">
      <t>サイシュウハンテイ</t>
    </rPh>
    <phoneticPr fontId="1"/>
  </si>
  <si>
    <t>※条件a,bの両条件を満たしている人は、実務経験期間を満たしていると同等として取り扱われ、受験者登録に進めます。</t>
    <rPh sb="1" eb="3">
      <t>ジョウケン</t>
    </rPh>
    <rPh sb="7" eb="8">
      <t>リョウ</t>
    </rPh>
    <rPh sb="8" eb="10">
      <t>ジョウケン</t>
    </rPh>
    <rPh sb="11" eb="12">
      <t>ミ</t>
    </rPh>
    <rPh sb="17" eb="18">
      <t>ヒト</t>
    </rPh>
    <rPh sb="20" eb="22">
      <t>ジツム</t>
    </rPh>
    <rPh sb="22" eb="24">
      <t>ケイケン</t>
    </rPh>
    <rPh sb="24" eb="26">
      <t>キカン</t>
    </rPh>
    <rPh sb="27" eb="28">
      <t>ミ</t>
    </rPh>
    <rPh sb="34" eb="36">
      <t>ドウトウ</t>
    </rPh>
    <rPh sb="39" eb="40">
      <t>ト</t>
    </rPh>
    <rPh sb="41" eb="42">
      <t>アツカ</t>
    </rPh>
    <rPh sb="45" eb="48">
      <t>ジュケンシャ</t>
    </rPh>
    <rPh sb="48" eb="50">
      <t>トウロク</t>
    </rPh>
    <rPh sb="51" eb="52">
      <t>スス</t>
    </rPh>
    <phoneticPr fontId="1"/>
  </si>
  <si>
    <t>※条件a,bの１つまたは両方の条件を満たしていない人は、実務経験修了見込の人を入力してください。</t>
    <rPh sb="1" eb="3">
      <t>ジョウケン</t>
    </rPh>
    <rPh sb="12" eb="14">
      <t>リョウホウ</t>
    </rPh>
    <rPh sb="15" eb="17">
      <t>ジョウケン</t>
    </rPh>
    <rPh sb="18" eb="19">
      <t>ミ</t>
    </rPh>
    <rPh sb="25" eb="26">
      <t>ヒト</t>
    </rPh>
    <rPh sb="28" eb="30">
      <t>ジツム</t>
    </rPh>
    <rPh sb="30" eb="32">
      <t>ケイケン</t>
    </rPh>
    <rPh sb="32" eb="34">
      <t>シュウリョウ</t>
    </rPh>
    <rPh sb="34" eb="36">
      <t>ミコミ</t>
    </rPh>
    <rPh sb="37" eb="38">
      <t>ヒト</t>
    </rPh>
    <rPh sb="39" eb="41">
      <t>ニュウリョク</t>
    </rPh>
    <phoneticPr fontId="1"/>
  </si>
  <si>
    <t>利用者見えない</t>
    <rPh sb="0" eb="3">
      <t>リヨウシャ</t>
    </rPh>
    <rPh sb="3" eb="4">
      <t>ミ</t>
    </rPh>
    <phoneticPr fontId="1"/>
  </si>
  <si>
    <t>⑤</t>
    <phoneticPr fontId="1"/>
  </si>
  <si>
    <t>特定技能資格での在留期間</t>
    <rPh sb="0" eb="2">
      <t>トクテイ</t>
    </rPh>
    <rPh sb="2" eb="4">
      <t>ギノウ</t>
    </rPh>
    <rPh sb="4" eb="6">
      <t>シカク</t>
    </rPh>
    <rPh sb="8" eb="10">
      <t>ザイリュウ</t>
    </rPh>
    <rPh sb="10" eb="12">
      <t>キカン</t>
    </rPh>
    <phoneticPr fontId="1"/>
  </si>
  <si>
    <t>【5年在留上限】</t>
    <rPh sb="2" eb="5">
      <t>ネンザイリュウ</t>
    </rPh>
    <rPh sb="5" eb="7">
      <t>ジョウゲン</t>
    </rPh>
    <phoneticPr fontId="1"/>
  </si>
  <si>
    <t>「特定技能１号」として初めて上陸許可又は在留資格変更許可を受けた日（在留資格が特定技能１号の人）</t>
    <rPh sb="1" eb="3">
      <t>トクテイ</t>
    </rPh>
    <rPh sb="3" eb="5">
      <t>ギノウ</t>
    </rPh>
    <rPh sb="6" eb="7">
      <t>ゴウ</t>
    </rPh>
    <rPh sb="11" eb="12">
      <t>ハジ</t>
    </rPh>
    <rPh sb="14" eb="16">
      <t>ジョウリク</t>
    </rPh>
    <rPh sb="16" eb="18">
      <t>キョカ</t>
    </rPh>
    <rPh sb="18" eb="19">
      <t>マタ</t>
    </rPh>
    <rPh sb="20" eb="22">
      <t>ザイリュウ</t>
    </rPh>
    <rPh sb="22" eb="24">
      <t>シカク</t>
    </rPh>
    <rPh sb="24" eb="26">
      <t>ヘンコウ</t>
    </rPh>
    <rPh sb="26" eb="28">
      <t>キョカ</t>
    </rPh>
    <rPh sb="29" eb="30">
      <t>ウ</t>
    </rPh>
    <rPh sb="32" eb="33">
      <t>ヒ</t>
    </rPh>
    <rPh sb="34" eb="36">
      <t>ザイリュウ</t>
    </rPh>
    <rPh sb="36" eb="38">
      <t>シカク</t>
    </rPh>
    <rPh sb="39" eb="41">
      <t>トクテイ</t>
    </rPh>
    <rPh sb="41" eb="43">
      <t>ギノウ</t>
    </rPh>
    <rPh sb="44" eb="45">
      <t>ゴウ</t>
    </rPh>
    <rPh sb="46" eb="47">
      <t>ヒト</t>
    </rPh>
    <phoneticPr fontId="1"/>
  </si>
  <si>
    <t>（②から自動入力）</t>
    <rPh sb="4" eb="6">
      <t>ジドウ</t>
    </rPh>
    <rPh sb="6" eb="8">
      <t>ニュウリョク</t>
    </rPh>
    <phoneticPr fontId="1"/>
  </si>
  <si>
    <t>【計算基準日】</t>
    <rPh sb="1" eb="3">
      <t>ケイサン</t>
    </rPh>
    <rPh sb="3" eb="6">
      <t>キジュンビ</t>
    </rPh>
    <phoneticPr fontId="1"/>
  </si>
  <si>
    <t>本件の申請日</t>
    <rPh sb="0" eb="2">
      <t>ホンケン</t>
    </rPh>
    <rPh sb="3" eb="6">
      <t>シンセイビ</t>
    </rPh>
    <phoneticPr fontId="1"/>
  </si>
  <si>
    <t>（⑦から自動入力）</t>
    <rPh sb="4" eb="6">
      <t>ジドウ</t>
    </rPh>
    <rPh sb="6" eb="8">
      <t>ニュウリョク</t>
    </rPh>
    <phoneticPr fontId="1"/>
  </si>
  <si>
    <t>上限在留期限までの日数</t>
    <rPh sb="0" eb="2">
      <t>ジョウゲン</t>
    </rPh>
    <rPh sb="2" eb="4">
      <t>ザイリュウ</t>
    </rPh>
    <rPh sb="4" eb="6">
      <t>キゲン</t>
    </rPh>
    <rPh sb="9" eb="11">
      <t>ニッスウ</t>
    </rPh>
    <phoneticPr fontId="1"/>
  </si>
  <si>
    <t>（自動入力）</t>
    <rPh sb="1" eb="3">
      <t>ジドウ</t>
    </rPh>
    <rPh sb="3" eb="5">
      <t>ニュウリョク</t>
    </rPh>
    <phoneticPr fontId="1"/>
  </si>
  <si>
    <r>
      <t>⑥試験日と実務経験修了見込み日の日数（</t>
    </r>
    <r>
      <rPr>
        <b/>
        <u/>
        <sz val="12"/>
        <color theme="1"/>
        <rFont val="Meiryo UI"/>
        <family val="3"/>
        <charset val="128"/>
      </rPr>
      <t>6ヶ月以内であることが必要です</t>
    </r>
    <r>
      <rPr>
        <b/>
        <sz val="12"/>
        <color theme="1"/>
        <rFont val="Meiryo UI"/>
        <family val="3"/>
        <charset val="128"/>
      </rPr>
      <t>）</t>
    </r>
    <rPh sb="1" eb="4">
      <t>シケンビ</t>
    </rPh>
    <rPh sb="5" eb="7">
      <t>ジツム</t>
    </rPh>
    <rPh sb="7" eb="9">
      <t>ケイケン</t>
    </rPh>
    <rPh sb="9" eb="11">
      <t>シュウリョウ</t>
    </rPh>
    <rPh sb="11" eb="13">
      <t>ミコミ</t>
    </rPh>
    <rPh sb="14" eb="15">
      <t>ヒ</t>
    </rPh>
    <rPh sb="16" eb="18">
      <t>ニッスウ</t>
    </rPh>
    <rPh sb="21" eb="22">
      <t>ゲツ</t>
    </rPh>
    <rPh sb="22" eb="24">
      <t>イナイ</t>
    </rPh>
    <rPh sb="30" eb="32">
      <t>ヒツヨウ</t>
    </rPh>
    <phoneticPr fontId="1"/>
  </si>
  <si>
    <t>実務経験修了予定月</t>
    <rPh sb="0" eb="2">
      <t>ジツム</t>
    </rPh>
    <rPh sb="2" eb="4">
      <t>ケイケン</t>
    </rPh>
    <rPh sb="4" eb="6">
      <t>シュウリョウ</t>
    </rPh>
    <rPh sb="6" eb="8">
      <t>ヨテイ</t>
    </rPh>
    <rPh sb="8" eb="9">
      <t>ツキ</t>
    </rPh>
    <phoneticPr fontId="1"/>
  </si>
  <si>
    <t>（③から自動入力）</t>
    <rPh sb="4" eb="6">
      <t>ジドウ</t>
    </rPh>
    <rPh sb="6" eb="8">
      <t>ニュウリョク</t>
    </rPh>
    <phoneticPr fontId="1"/>
  </si>
  <si>
    <t>受験予定月</t>
    <rPh sb="0" eb="2">
      <t>ジュケン</t>
    </rPh>
    <rPh sb="2" eb="4">
      <t>ヨテイ</t>
    </rPh>
    <rPh sb="4" eb="5">
      <t>ツキ</t>
    </rPh>
    <phoneticPr fontId="1"/>
  </si>
  <si>
    <t>（記入形式：YYYY年MM月→YYYY/MM）</t>
    <rPh sb="1" eb="3">
      <t>キニュウ</t>
    </rPh>
    <rPh sb="3" eb="5">
      <t>ケイシキ</t>
    </rPh>
    <phoneticPr fontId="1"/>
  </si>
  <si>
    <t>修了予定月と受験予定月の日数</t>
    <rPh sb="0" eb="4">
      <t>シュウリョウヨテイ</t>
    </rPh>
    <rPh sb="4" eb="5">
      <t>ツキ</t>
    </rPh>
    <rPh sb="6" eb="8">
      <t>ジュケン</t>
    </rPh>
    <rPh sb="8" eb="10">
      <t>ヨテイ</t>
    </rPh>
    <rPh sb="10" eb="11">
      <t>ツキ</t>
    </rPh>
    <rPh sb="12" eb="14">
      <t>ニッスウ</t>
    </rPh>
    <phoneticPr fontId="1"/>
  </si>
  <si>
    <t>⑤就いていた役職</t>
    <rPh sb="1" eb="2">
      <t>ツ</t>
    </rPh>
    <rPh sb="6" eb="8">
      <t>ヤクショク</t>
    </rPh>
    <phoneticPr fontId="1"/>
  </si>
  <si>
    <t>副マネージャー</t>
    <rPh sb="0" eb="1">
      <t>フク</t>
    </rPh>
    <phoneticPr fontId="1"/>
  </si>
  <si>
    <t>⑥管理等実務経験を行なっている際の業務内容</t>
    <rPh sb="1" eb="4">
      <t>カンリトウ</t>
    </rPh>
    <rPh sb="4" eb="8">
      <t>ジツムケイケン</t>
    </rPh>
    <rPh sb="9" eb="10">
      <t>オコ</t>
    </rPh>
    <rPh sb="15" eb="16">
      <t>サイ</t>
    </rPh>
    <rPh sb="17" eb="19">
      <t>ギョウム</t>
    </rPh>
    <rPh sb="19" eb="21">
      <t>ナイヨウ</t>
    </rPh>
    <phoneticPr fontId="1"/>
  </si>
  <si>
    <t>店長補佐、従業員20名の業務指導、店舗運営</t>
    <rPh sb="0" eb="2">
      <t>テンチョウ</t>
    </rPh>
    <rPh sb="2" eb="4">
      <t>ホサ</t>
    </rPh>
    <rPh sb="5" eb="7">
      <t>ジュウギョウ</t>
    </rPh>
    <rPh sb="7" eb="8">
      <t>イン</t>
    </rPh>
    <rPh sb="10" eb="11">
      <t>メイ</t>
    </rPh>
    <rPh sb="12" eb="14">
      <t>ギョウム</t>
    </rPh>
    <rPh sb="14" eb="16">
      <t>シドウ</t>
    </rPh>
    <rPh sb="17" eb="19">
      <t>テンポ</t>
    </rPh>
    <rPh sb="19" eb="21">
      <t>ウンエイ</t>
    </rPh>
    <phoneticPr fontId="1"/>
  </si>
  <si>
    <t>※1）特定技能１号の在留資格の場合に記載してください</t>
    <rPh sb="3" eb="5">
      <t>トクテイ</t>
    </rPh>
    <rPh sb="5" eb="7">
      <t>ギノウ</t>
    </rPh>
    <rPh sb="8" eb="9">
      <t>ゴウ</t>
    </rPh>
    <rPh sb="10" eb="12">
      <t>ザイリュウ</t>
    </rPh>
    <rPh sb="12" eb="14">
      <t>シカク</t>
    </rPh>
    <rPh sb="15" eb="17">
      <t>バアイ</t>
    </rPh>
    <rPh sb="18" eb="20">
      <t>キサイ</t>
    </rPh>
    <phoneticPr fontId="1"/>
  </si>
  <si>
    <t>※2）管理等実務経験の開始日は管理職相当となった日（辞令の発令があればその日）を記載してください。</t>
    <rPh sb="3" eb="5">
      <t>カンリ</t>
    </rPh>
    <rPh sb="5" eb="6">
      <t>ナド</t>
    </rPh>
    <rPh sb="6" eb="8">
      <t>ジツム</t>
    </rPh>
    <rPh sb="8" eb="10">
      <t>ケイケン</t>
    </rPh>
    <rPh sb="11" eb="14">
      <t>カイシビ</t>
    </rPh>
    <rPh sb="15" eb="18">
      <t>カンリショク</t>
    </rPh>
    <rPh sb="18" eb="20">
      <t>ソウトウ</t>
    </rPh>
    <rPh sb="24" eb="25">
      <t>ヒ</t>
    </rPh>
    <rPh sb="26" eb="28">
      <t>ジレイ</t>
    </rPh>
    <rPh sb="29" eb="31">
      <t>ハツレイ</t>
    </rPh>
    <rPh sb="37" eb="38">
      <t>ヒ</t>
    </rPh>
    <rPh sb="40" eb="42">
      <t>キサイ</t>
    </rPh>
    <phoneticPr fontId="1"/>
  </si>
  <si>
    <t>　　　ただし、中途採用のうち、管理職相当で雇用した場合は入社日が管理等実務経験を積んだ期間の開始日となります。</t>
    <rPh sb="7" eb="9">
      <t>チュウト</t>
    </rPh>
    <rPh sb="9" eb="11">
      <t>サイヨウ</t>
    </rPh>
    <rPh sb="15" eb="18">
      <t>カンリショク</t>
    </rPh>
    <rPh sb="18" eb="20">
      <t>ソウトウ</t>
    </rPh>
    <rPh sb="21" eb="23">
      <t>コヨウ</t>
    </rPh>
    <rPh sb="25" eb="27">
      <t>バアイ</t>
    </rPh>
    <rPh sb="28" eb="30">
      <t>ニュウシャ</t>
    </rPh>
    <rPh sb="30" eb="31">
      <t>ビ</t>
    </rPh>
    <rPh sb="32" eb="34">
      <t>カンリ</t>
    </rPh>
    <rPh sb="34" eb="35">
      <t>トウ</t>
    </rPh>
    <rPh sb="35" eb="37">
      <t>ジツム</t>
    </rPh>
    <rPh sb="37" eb="39">
      <t>ケイケン</t>
    </rPh>
    <rPh sb="40" eb="41">
      <t>ツ</t>
    </rPh>
    <rPh sb="43" eb="45">
      <t>キカン</t>
    </rPh>
    <rPh sb="46" eb="49">
      <t>カイシビ</t>
    </rPh>
    <phoneticPr fontId="1"/>
  </si>
  <si>
    <t>⑦証明書作成日</t>
    <rPh sb="1" eb="4">
      <t>ショウメイショ</t>
    </rPh>
    <rPh sb="4" eb="6">
      <t>サクセイ</t>
    </rPh>
    <rPh sb="6" eb="7">
      <t>ビ</t>
    </rPh>
    <phoneticPr fontId="1"/>
  </si>
  <si>
    <t>(自動入力）</t>
    <rPh sb="3" eb="5">
      <t>ニュウリョク</t>
    </rPh>
    <phoneticPr fontId="1"/>
  </si>
  <si>
    <t>⑧証明書作成者</t>
    <rPh sb="1" eb="6">
      <t>ショウメイショサクセイ</t>
    </rPh>
    <rPh sb="6" eb="7">
      <t>シャ</t>
    </rPh>
    <phoneticPr fontId="1"/>
  </si>
  <si>
    <t>事業者名</t>
    <rPh sb="0" eb="3">
      <t>ジギョウシャ</t>
    </rPh>
    <rPh sb="3" eb="4">
      <t>メイ</t>
    </rPh>
    <phoneticPr fontId="1"/>
  </si>
  <si>
    <t>焼肉の〇×</t>
    <rPh sb="0" eb="2">
      <t>ヤキニク</t>
    </rPh>
    <phoneticPr fontId="1"/>
  </si>
  <si>
    <t>代表者役職・氏名</t>
    <rPh sb="0" eb="3">
      <t>ダイヒョウシャ</t>
    </rPh>
    <rPh sb="3" eb="5">
      <t>ヤクショク</t>
    </rPh>
    <rPh sb="6" eb="8">
      <t>シメイ</t>
    </rPh>
    <phoneticPr fontId="1"/>
  </si>
  <si>
    <t>代表取締訳　日本太郎</t>
    <rPh sb="0" eb="2">
      <t>ダイヒョウ</t>
    </rPh>
    <rPh sb="2" eb="4">
      <t>トリシマリ</t>
    </rPh>
    <rPh sb="4" eb="5">
      <t>ヤク</t>
    </rPh>
    <rPh sb="6" eb="8">
      <t>ニホン</t>
    </rPh>
    <rPh sb="8" eb="10">
      <t>タロウ</t>
    </rPh>
    <phoneticPr fontId="1"/>
  </si>
  <si>
    <t>担当者部署名・役職・氏名</t>
    <rPh sb="0" eb="3">
      <t>タントウシャ</t>
    </rPh>
    <rPh sb="3" eb="6">
      <t>ブショメイ</t>
    </rPh>
    <rPh sb="7" eb="9">
      <t>ヤクショク</t>
    </rPh>
    <rPh sb="10" eb="12">
      <t>シメイ</t>
    </rPh>
    <phoneticPr fontId="1"/>
  </si>
  <si>
    <t>人材部　山田次郎</t>
    <rPh sb="0" eb="3">
      <t>ジンザイブ</t>
    </rPh>
    <rPh sb="4" eb="6">
      <t>ヤマダ</t>
    </rPh>
    <rPh sb="6" eb="8">
      <t>ジロウ</t>
    </rPh>
    <phoneticPr fontId="1"/>
  </si>
  <si>
    <t>連絡先</t>
    <rPh sb="0" eb="2">
      <t>レンラク</t>
    </rPh>
    <rPh sb="2" eb="3">
      <t>サキ</t>
    </rPh>
    <phoneticPr fontId="1"/>
  </si>
  <si>
    <t>電話</t>
    <rPh sb="0" eb="2">
      <t>デンワ</t>
    </rPh>
    <phoneticPr fontId="1"/>
  </si>
  <si>
    <t>03-6261-4949</t>
    <phoneticPr fontId="1"/>
  </si>
  <si>
    <t>e-mail</t>
    <phoneticPr fontId="1"/>
  </si>
  <si>
    <t>info@otaff.jp</t>
    <phoneticPr fontId="1"/>
  </si>
  <si>
    <t>【A】管理等実務経験（飲食料品製造業）または指導等実務経験（外食業）の要件判定シート</t>
    <rPh sb="6" eb="8">
      <t>ジツム</t>
    </rPh>
    <rPh sb="8" eb="10">
      <t>ケイケン</t>
    </rPh>
    <rPh sb="11" eb="13">
      <t>インショク</t>
    </rPh>
    <rPh sb="13" eb="15">
      <t>リョウヒン</t>
    </rPh>
    <rPh sb="15" eb="18">
      <t>セイゾウギョウ</t>
    </rPh>
    <rPh sb="22" eb="24">
      <t>シドウ</t>
    </rPh>
    <rPh sb="24" eb="25">
      <t>トウ</t>
    </rPh>
    <rPh sb="30" eb="33">
      <t>ガイショクギョウ</t>
    </rPh>
    <rPh sb="35" eb="37">
      <t>ヨウケン</t>
    </rPh>
    <rPh sb="37" eb="39">
      <t>ハンテイ</t>
    </rPh>
    <phoneticPr fontId="1"/>
  </si>
  <si>
    <t>ver250515</t>
    <phoneticPr fontId="1"/>
  </si>
  <si>
    <r>
      <t>管理等実務経験要件（</t>
    </r>
    <r>
      <rPr>
        <b/>
        <sz val="12"/>
        <color rgb="FFFF0000"/>
        <rFont val="Meiryo UI"/>
        <family val="3"/>
        <charset val="128"/>
      </rPr>
      <t>飲食料品製造業とは、飲食製品の製造加工を⾏い、卸売する事業者</t>
    </r>
    <r>
      <rPr>
        <b/>
        <sz val="12"/>
        <rFont val="Meiryo UI"/>
        <family val="3"/>
        <charset val="128"/>
      </rPr>
      <t>）</t>
    </r>
    <rPh sb="0" eb="3">
      <t>カンリトウ</t>
    </rPh>
    <rPh sb="3" eb="7">
      <t>ジツムケイケン</t>
    </rPh>
    <rPh sb="7" eb="9">
      <t>ヨウケン</t>
    </rPh>
    <phoneticPr fontId="1"/>
  </si>
  <si>
    <r>
      <t>　試験の前日までに飲食料品製造業分野において複数の作業員を指導しながら作業に従事し、工程を管理する者としての実務経験（以下「管理等実務経験」という。）を２年以上</t>
    </r>
    <r>
      <rPr>
        <b/>
        <sz val="11"/>
        <rFont val="Meiryo UI"/>
        <family val="3"/>
        <charset val="128"/>
      </rPr>
      <t>(注１)</t>
    </r>
    <r>
      <rPr>
        <sz val="11"/>
        <rFont val="Meiryo UI"/>
        <family val="3"/>
        <charset val="128"/>
      </rPr>
      <t>有すること。試験の前日までに管理等実務経験が２年</t>
    </r>
    <r>
      <rPr>
        <b/>
        <sz val="11"/>
        <rFont val="Meiryo UI"/>
        <family val="3"/>
        <charset val="128"/>
      </rPr>
      <t>(注１)</t>
    </r>
    <r>
      <rPr>
        <sz val="11"/>
        <rFont val="Meiryo UI"/>
        <family val="3"/>
        <charset val="128"/>
      </rPr>
      <t>に満たない者にあっては、試験の日から６か月以内に管理等実務経験を２年以上</t>
    </r>
    <r>
      <rPr>
        <b/>
        <sz val="11"/>
        <rFont val="Meiryo UI"/>
        <family val="3"/>
        <charset val="128"/>
      </rPr>
      <t>（注１）</t>
    </r>
    <r>
      <rPr>
        <sz val="11"/>
        <rFont val="Meiryo UI"/>
        <family val="3"/>
        <charset val="128"/>
      </rPr>
      <t>有することが見込まれること。より詳しくは、このエクセルファイルの【D】シートの「管理 指導等実務経験の説明」を参照してください。</t>
    </r>
    <rPh sb="81" eb="82">
      <t>チュウ</t>
    </rPh>
    <rPh sb="148" eb="149">
      <t>チュウ</t>
    </rPh>
    <rPh sb="167" eb="168">
      <t>クワ</t>
    </rPh>
    <rPh sb="191" eb="193">
      <t>カンリ</t>
    </rPh>
    <rPh sb="194" eb="196">
      <t>シドウ</t>
    </rPh>
    <rPh sb="196" eb="197">
      <t>トウ</t>
    </rPh>
    <rPh sb="197" eb="201">
      <t>ジツムケイケン</t>
    </rPh>
    <rPh sb="202" eb="204">
      <t>セツメイ</t>
    </rPh>
    <rPh sb="206" eb="208">
      <t>サンショウ</t>
    </rPh>
    <phoneticPr fontId="1"/>
  </si>
  <si>
    <t>（注１）</t>
    <rPh sb="1" eb="2">
      <t>チュウ</t>
    </rPh>
    <phoneticPr fontId="1"/>
  </si>
  <si>
    <r>
      <rPr>
        <b/>
        <sz val="11"/>
        <rFont val="Meiryo UI"/>
        <family val="3"/>
        <charset val="128"/>
      </rPr>
      <t>特定技能1号の人については</t>
    </r>
    <r>
      <rPr>
        <sz val="11"/>
        <rFont val="Meiryo UI"/>
        <family val="3"/>
        <charset val="128"/>
      </rPr>
      <t>、5年の在留期限上限との関係で次のような</t>
    </r>
    <r>
      <rPr>
        <b/>
        <sz val="11"/>
        <rFont val="Meiryo UI"/>
        <family val="3"/>
        <charset val="128"/>
      </rPr>
      <t>経過措置</t>
    </r>
    <r>
      <rPr>
        <sz val="11"/>
        <rFont val="Meiryo UI"/>
        <family val="3"/>
        <charset val="128"/>
      </rPr>
      <t>があります。
・日本政府が管理等実務経験要件を公表した2023年6月9日の翌日から起算して、5年の在留期限上限まで2年6か月未満しかない特定技能1号の人については、「2年以上」ではなく、残りの残余期間から6か月を差し引いた期間の管理等実務経験でいいこととされています。
・例えば、2023年6月10日の時点で、残余期間が2年しかない場合は1年6か月、残余期間が1年6カ月しかない場合は1年の管理等実務経験でいいことになります。</t>
    </r>
    <rPh sb="0" eb="2">
      <t>トクテイ</t>
    </rPh>
    <rPh sb="2" eb="4">
      <t>ギノウ</t>
    </rPh>
    <rPh sb="5" eb="6">
      <t>ゴウ</t>
    </rPh>
    <rPh sb="7" eb="8">
      <t>ヒト</t>
    </rPh>
    <rPh sb="15" eb="16">
      <t>ネン</t>
    </rPh>
    <rPh sb="17" eb="19">
      <t>ザイリュウ</t>
    </rPh>
    <rPh sb="19" eb="21">
      <t>キゲン</t>
    </rPh>
    <rPh sb="21" eb="23">
      <t>ジョウゲン</t>
    </rPh>
    <rPh sb="25" eb="27">
      <t>カンケイ</t>
    </rPh>
    <rPh sb="28" eb="29">
      <t>ツギ</t>
    </rPh>
    <rPh sb="33" eb="35">
      <t>ケイカ</t>
    </rPh>
    <rPh sb="35" eb="37">
      <t>ソチ</t>
    </rPh>
    <rPh sb="45" eb="49">
      <t>ニホンセイフ</t>
    </rPh>
    <rPh sb="50" eb="53">
      <t>カンリトウ</t>
    </rPh>
    <rPh sb="53" eb="57">
      <t>ジツムケイケン</t>
    </rPh>
    <rPh sb="57" eb="59">
      <t>ヨウケン</t>
    </rPh>
    <rPh sb="60" eb="62">
      <t>コウヒョウ</t>
    </rPh>
    <rPh sb="68" eb="69">
      <t>ネン</t>
    </rPh>
    <rPh sb="70" eb="71">
      <t>ガツ</t>
    </rPh>
    <rPh sb="72" eb="73">
      <t>ニチ</t>
    </rPh>
    <rPh sb="74" eb="76">
      <t>ヨクジツ</t>
    </rPh>
    <rPh sb="78" eb="80">
      <t>キサン</t>
    </rPh>
    <rPh sb="84" eb="85">
      <t>ネン</t>
    </rPh>
    <rPh sb="86" eb="90">
      <t>ザイリュウキゲン</t>
    </rPh>
    <rPh sb="90" eb="92">
      <t>ジョウゲン</t>
    </rPh>
    <rPh sb="95" eb="96">
      <t>ネン</t>
    </rPh>
    <rPh sb="98" eb="99">
      <t>ゲツ</t>
    </rPh>
    <rPh sb="99" eb="101">
      <t>ミマン</t>
    </rPh>
    <rPh sb="105" eb="109">
      <t>トクテイギノウ</t>
    </rPh>
    <rPh sb="110" eb="111">
      <t>ゴウ</t>
    </rPh>
    <rPh sb="112" eb="113">
      <t>ヒト</t>
    </rPh>
    <rPh sb="121" eb="122">
      <t>ネン</t>
    </rPh>
    <rPh sb="122" eb="124">
      <t>イジョウ</t>
    </rPh>
    <rPh sb="130" eb="131">
      <t>ノコ</t>
    </rPh>
    <rPh sb="133" eb="135">
      <t>ザンヨ</t>
    </rPh>
    <rPh sb="135" eb="137">
      <t>キカン</t>
    </rPh>
    <rPh sb="141" eb="142">
      <t>ゲツ</t>
    </rPh>
    <rPh sb="143" eb="144">
      <t>サ</t>
    </rPh>
    <rPh sb="145" eb="146">
      <t>ヒ</t>
    </rPh>
    <rPh sb="148" eb="150">
      <t>キカン</t>
    </rPh>
    <rPh sb="151" eb="153">
      <t>カンリ</t>
    </rPh>
    <rPh sb="153" eb="154">
      <t>トウ</t>
    </rPh>
    <rPh sb="154" eb="158">
      <t>ジツムケイケン</t>
    </rPh>
    <rPh sb="173" eb="174">
      <t>タト</t>
    </rPh>
    <rPh sb="181" eb="182">
      <t>ネン</t>
    </rPh>
    <rPh sb="183" eb="184">
      <t>ガツ</t>
    </rPh>
    <rPh sb="186" eb="187">
      <t>ニチ</t>
    </rPh>
    <rPh sb="188" eb="190">
      <t>ジテン</t>
    </rPh>
    <rPh sb="192" eb="196">
      <t>ザンヨキカン</t>
    </rPh>
    <rPh sb="198" eb="199">
      <t>ネン</t>
    </rPh>
    <rPh sb="203" eb="205">
      <t>バアイ</t>
    </rPh>
    <rPh sb="207" eb="208">
      <t>ネン</t>
    </rPh>
    <rPh sb="210" eb="211">
      <t>ゲツ</t>
    </rPh>
    <rPh sb="212" eb="216">
      <t>ザンヨキカン</t>
    </rPh>
    <rPh sb="218" eb="219">
      <t>ネン</t>
    </rPh>
    <rPh sb="221" eb="222">
      <t>ゲツ</t>
    </rPh>
    <rPh sb="226" eb="228">
      <t>バアイ</t>
    </rPh>
    <rPh sb="230" eb="231">
      <t>ネン</t>
    </rPh>
    <phoneticPr fontId="1"/>
  </si>
  <si>
    <r>
      <t>指導等実務経験要件（</t>
    </r>
    <r>
      <rPr>
        <b/>
        <sz val="12"/>
        <color rgb="FFFF0000"/>
        <rFont val="Meiryo UI"/>
        <family val="3"/>
        <charset val="128"/>
      </rPr>
      <t>外食業とは</t>
    </r>
    <r>
      <rPr>
        <b/>
        <sz val="12"/>
        <rFont val="Meiryo UI"/>
        <family val="3"/>
        <charset val="128"/>
      </rPr>
      <t>：</t>
    </r>
    <r>
      <rPr>
        <b/>
        <sz val="12"/>
        <color rgb="FFFF0000"/>
        <rFont val="Meiryo UI"/>
        <family val="3"/>
        <charset val="128"/>
      </rPr>
      <t>飲食店、持ち帰り飲食サービス業、配達飲食サービス業、給食事業等の飲食サービス事業者</t>
    </r>
    <r>
      <rPr>
        <b/>
        <sz val="12"/>
        <rFont val="Meiryo UI"/>
        <family val="3"/>
        <charset val="128"/>
      </rPr>
      <t>)</t>
    </r>
    <rPh sb="0" eb="3">
      <t>シドウトウ</t>
    </rPh>
    <rPh sb="3" eb="7">
      <t>ジツムケイケン</t>
    </rPh>
    <rPh sb="7" eb="9">
      <t>ヨウケン</t>
    </rPh>
    <rPh sb="10" eb="13">
      <t>ガイショクギョウ</t>
    </rPh>
    <rPh sb="54" eb="57">
      <t>ジギョウシャ</t>
    </rPh>
    <phoneticPr fontId="1"/>
  </si>
  <si>
    <r>
      <t>　試験の前日までに外食業分野において複数のアルバイト従業員や特定技能外国人等を指導・監督しながら接客を含む作業に従事し、店舗管理を補助する者としての実務経験（以下「指導等実務経験」という。）を２年以上</t>
    </r>
    <r>
      <rPr>
        <b/>
        <sz val="11"/>
        <rFont val="Meiryo UI"/>
        <family val="3"/>
        <charset val="128"/>
      </rPr>
      <t>(注２)</t>
    </r>
    <r>
      <rPr>
        <sz val="11"/>
        <rFont val="Meiryo UI"/>
        <family val="3"/>
        <charset val="128"/>
      </rPr>
      <t>有すること。なお、試験の前日までに指導等実務経験が２年</t>
    </r>
    <r>
      <rPr>
        <b/>
        <sz val="11"/>
        <rFont val="Meiryo UI"/>
        <family val="3"/>
        <charset val="128"/>
      </rPr>
      <t>(注２)</t>
    </r>
    <r>
      <rPr>
        <sz val="11"/>
        <rFont val="Meiryo UI"/>
        <family val="3"/>
        <charset val="128"/>
      </rPr>
      <t>に満たない者にあっては、試験の日から６か月以内に指導等実務経験を２年以上</t>
    </r>
    <r>
      <rPr>
        <b/>
        <sz val="11"/>
        <rFont val="Meiryo UI"/>
        <family val="3"/>
        <charset val="128"/>
      </rPr>
      <t>(注２)</t>
    </r>
    <r>
      <rPr>
        <sz val="11"/>
        <rFont val="Meiryo UI"/>
        <family val="3"/>
        <charset val="128"/>
      </rPr>
      <t>有することが見込まれること。</t>
    </r>
    <phoneticPr fontId="1"/>
  </si>
  <si>
    <t>（注２）</t>
    <rPh sb="1" eb="2">
      <t>チュウ</t>
    </rPh>
    <phoneticPr fontId="1"/>
  </si>
  <si>
    <t>(注１）と同じ。（注１）の「管理等実務経験」を「指導等実務経験」と読み替えてください。</t>
    <rPh sb="1" eb="2">
      <t>チュウ</t>
    </rPh>
    <rPh sb="5" eb="6">
      <t>オナ</t>
    </rPh>
    <rPh sb="9" eb="10">
      <t>チュウ</t>
    </rPh>
    <rPh sb="14" eb="19">
      <t>カンリトウジツム</t>
    </rPh>
    <rPh sb="19" eb="21">
      <t>ケイケン</t>
    </rPh>
    <rPh sb="24" eb="26">
      <t>シドウ</t>
    </rPh>
    <rPh sb="26" eb="27">
      <t>トウ</t>
    </rPh>
    <rPh sb="27" eb="29">
      <t>ジツム</t>
    </rPh>
    <rPh sb="29" eb="31">
      <t>ケイケン</t>
    </rPh>
    <rPh sb="33" eb="34">
      <t>ヨ</t>
    </rPh>
    <rPh sb="35" eb="36">
      <t>カ</t>
    </rPh>
    <phoneticPr fontId="1"/>
  </si>
  <si>
    <r>
      <t>※</t>
    </r>
    <r>
      <rPr>
        <b/>
        <sz val="12"/>
        <color theme="0"/>
        <rFont val="Meiryo UI"/>
        <family val="3"/>
        <charset val="128"/>
      </rPr>
      <t>管理等実務経験または指導等実務経験（以下、「管理/指導等実務経験」）の要件を満たすか否かを判定します。</t>
    </r>
    <r>
      <rPr>
        <b/>
        <sz val="12"/>
        <color rgb="FF00B0F0"/>
        <rFont val="Meiryo UI"/>
        <family val="3"/>
        <charset val="128"/>
      </rPr>
      <t>水色部分を記入</t>
    </r>
    <r>
      <rPr>
        <b/>
        <sz val="12"/>
        <color theme="0"/>
        <rFont val="Meiryo UI"/>
        <family val="3"/>
        <charset val="128"/>
      </rPr>
      <t>ください。
　　</t>
    </r>
    <r>
      <rPr>
        <b/>
        <sz val="12"/>
        <color rgb="FFFFFF00"/>
        <rFont val="Meiryo UI"/>
        <family val="3"/>
        <charset val="128"/>
      </rPr>
      <t>黄色部分は自動入力・計算</t>
    </r>
    <r>
      <rPr>
        <b/>
        <sz val="12"/>
        <color theme="0"/>
        <rFont val="Meiryo UI"/>
        <family val="3"/>
        <charset val="128"/>
      </rPr>
      <t>されます。
①　試験予定日の前日までに要件を満たす場合は、シート【B】を開いて、実務経験証明書の</t>
    </r>
    <r>
      <rPr>
        <b/>
        <sz val="12"/>
        <color rgb="FF00B0F0"/>
        <rFont val="Meiryo UI"/>
        <family val="3"/>
        <charset val="128"/>
      </rPr>
      <t>水色部分を記入</t>
    </r>
    <r>
      <rPr>
        <b/>
        <sz val="12"/>
        <color theme="0"/>
        <rFont val="Meiryo UI"/>
        <family val="3"/>
        <charset val="128"/>
      </rPr>
      <t xml:space="preserve">し、企業マイページの該当受験者の受験者登録のページの
　　 </t>
    </r>
    <r>
      <rPr>
        <b/>
        <sz val="12"/>
        <color rgb="FFFF0000"/>
        <rFont val="Meiryo UI"/>
        <family val="3"/>
        <charset val="128"/>
      </rPr>
      <t>「実務経験を証明する書類」のところ</t>
    </r>
    <r>
      <rPr>
        <b/>
        <sz val="12"/>
        <color theme="0"/>
        <rFont val="Meiryo UI"/>
        <family val="3"/>
        <charset val="128"/>
      </rPr>
      <t>に、この</t>
    </r>
    <r>
      <rPr>
        <b/>
        <sz val="12"/>
        <color rgb="FFFF0000"/>
        <rFont val="Meiryo UI"/>
        <family val="3"/>
        <charset val="128"/>
      </rPr>
      <t>エクセルファイルのまま</t>
    </r>
    <r>
      <rPr>
        <b/>
        <sz val="12"/>
        <color theme="0"/>
        <rFont val="Meiryo UI"/>
        <family val="3"/>
        <charset val="128"/>
      </rPr>
      <t>アップロードしてください。
②　試験予定日以降、6カ月以内に要件を満たす見込の場合は、シート【C】の実務経験に係る誓約書の</t>
    </r>
    <r>
      <rPr>
        <b/>
        <sz val="12"/>
        <color rgb="FF00B0F0"/>
        <rFont val="Meiryo UI"/>
        <family val="3"/>
        <charset val="128"/>
      </rPr>
      <t>水色部分を記入</t>
    </r>
    <r>
      <rPr>
        <b/>
        <sz val="12"/>
        <color theme="0"/>
        <rFont val="Meiryo UI"/>
        <family val="3"/>
        <charset val="128"/>
      </rPr>
      <t>し、企業マイページの該当受験者の受験者登録
　　 のページの</t>
    </r>
    <r>
      <rPr>
        <b/>
        <sz val="12"/>
        <color rgb="FFFF0000"/>
        <rFont val="Meiryo UI"/>
        <family val="3"/>
        <charset val="128"/>
      </rPr>
      <t>「実務経験を証明する書類」のところ</t>
    </r>
    <r>
      <rPr>
        <b/>
        <sz val="12"/>
        <color theme="0"/>
        <rFont val="Meiryo UI"/>
        <family val="3"/>
        <charset val="128"/>
      </rPr>
      <t>に、この</t>
    </r>
    <r>
      <rPr>
        <b/>
        <sz val="12"/>
        <color rgb="FFFF0000"/>
        <rFont val="Meiryo UI"/>
        <family val="3"/>
        <charset val="128"/>
      </rPr>
      <t>エクセルファイルのまま</t>
    </r>
    <r>
      <rPr>
        <b/>
        <sz val="12"/>
        <color theme="0"/>
        <rFont val="Meiryo UI"/>
        <family val="3"/>
        <charset val="128"/>
      </rPr>
      <t>アップロードしてください。
③　①または②のいずれにも該当しない場合は、試験の申込ができません。</t>
    </r>
    <rPh sb="1" eb="3">
      <t>カンリ</t>
    </rPh>
    <rPh sb="4" eb="8">
      <t>ジツムケイケン</t>
    </rPh>
    <rPh sb="11" eb="14">
      <t>シドウトウ</t>
    </rPh>
    <rPh sb="14" eb="18">
      <t>ジツムケイケン</t>
    </rPh>
    <rPh sb="19" eb="21">
      <t>イカ</t>
    </rPh>
    <rPh sb="23" eb="25">
      <t>カンリ</t>
    </rPh>
    <rPh sb="26" eb="28">
      <t>シドウ</t>
    </rPh>
    <rPh sb="28" eb="29">
      <t>トウ</t>
    </rPh>
    <rPh sb="29" eb="33">
      <t>ジツムケイケン</t>
    </rPh>
    <rPh sb="36" eb="38">
      <t>ヨウケン</t>
    </rPh>
    <rPh sb="39" eb="40">
      <t>ミ</t>
    </rPh>
    <rPh sb="43" eb="44">
      <t>イナ</t>
    </rPh>
    <rPh sb="46" eb="48">
      <t>ハンテイ</t>
    </rPh>
    <rPh sb="52" eb="54">
      <t>ミズイロ</t>
    </rPh>
    <rPh sb="54" eb="56">
      <t>ブブン</t>
    </rPh>
    <rPh sb="57" eb="59">
      <t>キニュウ</t>
    </rPh>
    <rPh sb="67" eb="69">
      <t>キイロ</t>
    </rPh>
    <rPh sb="69" eb="71">
      <t>ブブン</t>
    </rPh>
    <rPh sb="72" eb="74">
      <t>ジドウ</t>
    </rPh>
    <rPh sb="74" eb="76">
      <t>ニュウリョク</t>
    </rPh>
    <rPh sb="77" eb="79">
      <t>ケイサン</t>
    </rPh>
    <rPh sb="87" eb="89">
      <t>シケン</t>
    </rPh>
    <rPh sb="89" eb="91">
      <t>ヨテイ</t>
    </rPh>
    <rPh sb="91" eb="92">
      <t>ビ</t>
    </rPh>
    <rPh sb="93" eb="95">
      <t>ゼンジツ</t>
    </rPh>
    <rPh sb="98" eb="100">
      <t>ヨウケン</t>
    </rPh>
    <rPh sb="101" eb="102">
      <t>ミ</t>
    </rPh>
    <rPh sb="104" eb="106">
      <t>バアイ</t>
    </rPh>
    <rPh sb="115" eb="116">
      <t>ヒラ</t>
    </rPh>
    <rPh sb="119" eb="123">
      <t>ジツムケイケン</t>
    </rPh>
    <rPh sb="123" eb="126">
      <t>ショウメイショ</t>
    </rPh>
    <rPh sb="136" eb="138">
      <t>キギョウ</t>
    </rPh>
    <rPh sb="144" eb="146">
      <t>ガイトウ</t>
    </rPh>
    <rPh sb="146" eb="149">
      <t>ジュケンシャ</t>
    </rPh>
    <rPh sb="150" eb="153">
      <t>ジュケンシャ</t>
    </rPh>
    <rPh sb="153" eb="155">
      <t>トウロク</t>
    </rPh>
    <rPh sb="165" eb="169">
      <t>ジツムケイケン</t>
    </rPh>
    <rPh sb="170" eb="172">
      <t>ショウメイ</t>
    </rPh>
    <rPh sb="174" eb="176">
      <t>ショルイ</t>
    </rPh>
    <rPh sb="212" eb="214">
      <t>シケン</t>
    </rPh>
    <rPh sb="214" eb="216">
      <t>ヨテイ</t>
    </rPh>
    <rPh sb="216" eb="217">
      <t>ビ</t>
    </rPh>
    <rPh sb="217" eb="219">
      <t>イコウ</t>
    </rPh>
    <rPh sb="222" eb="223">
      <t>ガツ</t>
    </rPh>
    <rPh sb="223" eb="225">
      <t>イナイ</t>
    </rPh>
    <rPh sb="226" eb="228">
      <t>ヨウケン</t>
    </rPh>
    <rPh sb="229" eb="230">
      <t>ミ</t>
    </rPh>
    <rPh sb="232" eb="234">
      <t>ミコミ</t>
    </rPh>
    <rPh sb="235" eb="237">
      <t>バアイ</t>
    </rPh>
    <rPh sb="246" eb="250">
      <t>ジツムケイケン</t>
    </rPh>
    <rPh sb="251" eb="252">
      <t>カカワ</t>
    </rPh>
    <rPh sb="253" eb="256">
      <t>セイヤクショ</t>
    </rPh>
    <rPh sb="266" eb="268">
      <t>キギョウ</t>
    </rPh>
    <rPh sb="274" eb="276">
      <t>ガイトウ</t>
    </rPh>
    <rPh sb="276" eb="279">
      <t>ジュケンシャ</t>
    </rPh>
    <rPh sb="280" eb="283">
      <t>ジュケンシャ</t>
    </rPh>
    <rPh sb="283" eb="285">
      <t>トウロク</t>
    </rPh>
    <rPh sb="353" eb="355">
      <t>ガイトウ</t>
    </rPh>
    <rPh sb="358" eb="360">
      <t>バアイ</t>
    </rPh>
    <rPh sb="362" eb="364">
      <t>シケン</t>
    </rPh>
    <rPh sb="365" eb="367">
      <t>モウシコミ</t>
    </rPh>
    <phoneticPr fontId="1"/>
  </si>
  <si>
    <t>申請区分</t>
    <rPh sb="0" eb="2">
      <t>シンセイ</t>
    </rPh>
    <rPh sb="2" eb="4">
      <t>クブン</t>
    </rPh>
    <phoneticPr fontId="1"/>
  </si>
  <si>
    <r>
      <t>右のスペースをクリックして▼プルダウンから、</t>
    </r>
    <r>
      <rPr>
        <sz val="11"/>
        <color rgb="FFFF0000"/>
        <rFont val="Meiryo UI"/>
        <family val="3"/>
        <charset val="128"/>
      </rPr>
      <t>新規申請または実務経験の終了申請かを選択して下さい</t>
    </r>
    <rPh sb="0" eb="1">
      <t>ミギ</t>
    </rPh>
    <rPh sb="22" eb="24">
      <t>シンキ</t>
    </rPh>
    <rPh sb="24" eb="26">
      <t>シンセイ</t>
    </rPh>
    <rPh sb="29" eb="31">
      <t>ジツム</t>
    </rPh>
    <rPh sb="31" eb="33">
      <t>ケイケン</t>
    </rPh>
    <rPh sb="34" eb="36">
      <t>シュウリョウ</t>
    </rPh>
    <rPh sb="36" eb="38">
      <t>シンセイ</t>
    </rPh>
    <rPh sb="40" eb="42">
      <t>センタク</t>
    </rPh>
    <rPh sb="44" eb="45">
      <t>クダ</t>
    </rPh>
    <phoneticPr fontId="1"/>
  </si>
  <si>
    <t>特定技能2号受験に関する新規受験者登録です。</t>
    <rPh sb="0" eb="2">
      <t>トクテイ</t>
    </rPh>
    <rPh sb="2" eb="4">
      <t>ギノウ</t>
    </rPh>
    <rPh sb="5" eb="6">
      <t>ゴウ</t>
    </rPh>
    <rPh sb="6" eb="8">
      <t>ジュケン</t>
    </rPh>
    <rPh sb="9" eb="10">
      <t>カン</t>
    </rPh>
    <rPh sb="12" eb="14">
      <t>シンキ</t>
    </rPh>
    <rPh sb="14" eb="17">
      <t>ジュケンシャ</t>
    </rPh>
    <rPh sb="17" eb="19">
      <t>トウロク</t>
    </rPh>
    <phoneticPr fontId="1"/>
  </si>
  <si>
    <t>① 受験希望者</t>
    <rPh sb="2" eb="4">
      <t>ジュケン</t>
    </rPh>
    <rPh sb="4" eb="7">
      <t>キボウシャ</t>
    </rPh>
    <phoneticPr fontId="1"/>
  </si>
  <si>
    <t>名        　　前（アルファベットで入力）</t>
    <rPh sb="0" eb="1">
      <t>メイ</t>
    </rPh>
    <rPh sb="11" eb="12">
      <t>マエ</t>
    </rPh>
    <rPh sb="21" eb="23">
      <t>ニュウリョク</t>
    </rPh>
    <phoneticPr fontId="1"/>
  </si>
  <si>
    <t>生　年　月　日（YYYY/MM/DD)</t>
    <rPh sb="0" eb="1">
      <t>セイ</t>
    </rPh>
    <rPh sb="2" eb="3">
      <t>ネン</t>
    </rPh>
    <rPh sb="4" eb="5">
      <t>ガツ</t>
    </rPh>
    <rPh sb="6" eb="7">
      <t>ヒ</t>
    </rPh>
    <phoneticPr fontId="1"/>
  </si>
  <si>
    <t>試験の業種（右端のプルダウンで選択）</t>
    <rPh sb="0" eb="2">
      <t>シケン</t>
    </rPh>
    <rPh sb="3" eb="4">
      <t>ギョウ</t>
    </rPh>
    <rPh sb="4" eb="5">
      <t>シュ</t>
    </rPh>
    <rPh sb="6" eb="8">
      <t>ミギハジ</t>
    </rPh>
    <rPh sb="15" eb="17">
      <t>センタク</t>
    </rPh>
    <phoneticPr fontId="1"/>
  </si>
  <si>
    <t>外食業:飲食店、持ち帰り飲食サービス業、配達飲食サービス業、給食事業等の飲食サービス事業者です。
飲食料品製造業:飲料や食料の製造加工する事業者です。</t>
    <phoneticPr fontId="1"/>
  </si>
  <si>
    <r>
      <t>② 「特定技能１号」として初めて上陸許可又は在留資格変更許可を受けた日</t>
    </r>
    <r>
      <rPr>
        <b/>
        <sz val="10"/>
        <rFont val="Meiryo UI"/>
        <family val="3"/>
        <charset val="128"/>
      </rPr>
      <t>（在留資格が特定技能１号以外は記入不要）</t>
    </r>
    <rPh sb="3" eb="5">
      <t>トクテイ</t>
    </rPh>
    <rPh sb="5" eb="7">
      <t>ギノウ</t>
    </rPh>
    <rPh sb="8" eb="9">
      <t>ゴウ</t>
    </rPh>
    <rPh sb="13" eb="14">
      <t>ハジ</t>
    </rPh>
    <rPh sb="16" eb="18">
      <t>ジョウリク</t>
    </rPh>
    <rPh sb="18" eb="20">
      <t>キョカ</t>
    </rPh>
    <rPh sb="20" eb="21">
      <t>マタ</t>
    </rPh>
    <rPh sb="22" eb="24">
      <t>ザイリュウ</t>
    </rPh>
    <rPh sb="24" eb="26">
      <t>シカク</t>
    </rPh>
    <rPh sb="26" eb="28">
      <t>ヘンコウ</t>
    </rPh>
    <rPh sb="28" eb="30">
      <t>キョカ</t>
    </rPh>
    <rPh sb="31" eb="32">
      <t>ウ</t>
    </rPh>
    <rPh sb="34" eb="35">
      <t>ヒ</t>
    </rPh>
    <rPh sb="36" eb="38">
      <t>ザイリュウ</t>
    </rPh>
    <rPh sb="38" eb="40">
      <t>シカク</t>
    </rPh>
    <rPh sb="41" eb="43">
      <t>トクテイ</t>
    </rPh>
    <rPh sb="43" eb="45">
      <t>ギノウ</t>
    </rPh>
    <rPh sb="46" eb="47">
      <t>ゴウ</t>
    </rPh>
    <rPh sb="47" eb="49">
      <t>イガイ</t>
    </rPh>
    <rPh sb="50" eb="52">
      <t>キニュウ</t>
    </rPh>
    <rPh sb="52" eb="54">
      <t>フヨウ</t>
    </rPh>
    <phoneticPr fontId="1"/>
  </si>
  <si>
    <t>a)</t>
    <phoneticPr fontId="1"/>
  </si>
  <si>
    <t>（YYYY年MM月DD日→YYYY/MM/DD）</t>
    <phoneticPr fontId="1"/>
  </si>
  <si>
    <t>在留期限上限日</t>
    <rPh sb="0" eb="2">
      <t>ザイリュウ</t>
    </rPh>
    <rPh sb="2" eb="4">
      <t>キゲン</t>
    </rPh>
    <rPh sb="4" eb="6">
      <t>ジョウゲン</t>
    </rPh>
    <rPh sb="6" eb="7">
      <t>ビ</t>
    </rPh>
    <phoneticPr fontId="1"/>
  </si>
  <si>
    <t>（自動計算）</t>
    <rPh sb="3" eb="5">
      <t>ケイサン</t>
    </rPh>
    <phoneticPr fontId="1"/>
  </si>
  <si>
    <t>2023年６月10日から
在留上限までの期間</t>
    <rPh sb="4" eb="5">
      <t>ネン</t>
    </rPh>
    <rPh sb="6" eb="7">
      <t>ガツ</t>
    </rPh>
    <rPh sb="9" eb="10">
      <t>ヒ</t>
    </rPh>
    <rPh sb="13" eb="17">
      <t>ザイリュウジョウゲン</t>
    </rPh>
    <rPh sb="20" eb="22">
      <t>キカン</t>
    </rPh>
    <phoneticPr fontId="1"/>
  </si>
  <si>
    <t>③</t>
    <phoneticPr fontId="1"/>
  </si>
  <si>
    <r>
      <t>管理/指導等実務経験期間</t>
    </r>
    <r>
      <rPr>
        <sz val="12"/>
        <color theme="1"/>
        <rFont val="Meiryo UI"/>
        <family val="3"/>
        <charset val="128"/>
      </rPr>
      <t>（管理/指導等実務経験の（一部見込みを含む）期間を記入。）</t>
    </r>
    <rPh sb="3" eb="5">
      <t>シドウ</t>
    </rPh>
    <phoneticPr fontId="1"/>
  </si>
  <si>
    <t>　(注)1社のみの場合は、企業Aのみ記入。複数社の場合は、古い順に企業A,B,Cを記入。3社を超える場合は、OTAFFへ連絡して下さい）</t>
    <rPh sb="2" eb="3">
      <t>チュウ</t>
    </rPh>
    <rPh sb="5" eb="6">
      <t>シャ</t>
    </rPh>
    <rPh sb="9" eb="11">
      <t>バアイ</t>
    </rPh>
    <rPh sb="13" eb="15">
      <t>キギョウ</t>
    </rPh>
    <rPh sb="18" eb="20">
      <t>キニュウ</t>
    </rPh>
    <rPh sb="21" eb="24">
      <t>フクスウシャ</t>
    </rPh>
    <rPh sb="25" eb="27">
      <t>バアイ</t>
    </rPh>
    <rPh sb="29" eb="30">
      <t>フル</t>
    </rPh>
    <rPh sb="31" eb="32">
      <t>ジュン</t>
    </rPh>
    <rPh sb="33" eb="35">
      <t>キギョウ</t>
    </rPh>
    <rPh sb="41" eb="43">
      <t>キニュウ</t>
    </rPh>
    <phoneticPr fontId="1"/>
  </si>
  <si>
    <t>必須</t>
    <rPh sb="0" eb="2">
      <t>ヒッス</t>
    </rPh>
    <phoneticPr fontId="1"/>
  </si>
  <si>
    <r>
      <t>下記の管理/指導等実務経験期間に、</t>
    </r>
    <r>
      <rPr>
        <b/>
        <sz val="12"/>
        <color theme="1"/>
        <rFont val="Meiryo UI"/>
        <family val="3"/>
        <charset val="128"/>
      </rPr>
      <t>技能実習及び次の就労不可の在留資格</t>
    </r>
    <r>
      <rPr>
        <sz val="12"/>
        <color theme="1"/>
        <rFont val="Meiryo UI"/>
        <family val="3"/>
        <charset val="128"/>
      </rPr>
      <t>の期間が含まれていない場合は、</t>
    </r>
    <r>
      <rPr>
        <sz val="12"/>
        <color rgb="FFFF0000"/>
        <rFont val="Meiryo UI"/>
        <family val="3"/>
        <charset val="128"/>
      </rPr>
      <t>プルダウンから「含まれていません」を選択して下さい。</t>
    </r>
    <r>
      <rPr>
        <sz val="12"/>
        <color theme="1"/>
        <rFont val="Meiryo UI"/>
        <family val="3"/>
        <charset val="128"/>
      </rPr>
      <t xml:space="preserve">
</t>
    </r>
    <r>
      <rPr>
        <b/>
        <sz val="12"/>
        <color theme="1"/>
        <rFont val="Meiryo UI"/>
        <family val="3"/>
        <charset val="128"/>
      </rPr>
      <t xml:space="preserve">   　　　　　　　　　　　　　留学、文化活動、短期滞在、研修、家族滞在
　　</t>
    </r>
    <r>
      <rPr>
        <sz val="12"/>
        <color theme="1"/>
        <rFont val="Meiryo UI"/>
        <family val="3"/>
        <charset val="128"/>
      </rPr>
      <t xml:space="preserve">  (注　技能実習及びこれらの在留資格での従事期間は、管理等実務経験期間にカウントできません）
</t>
    </r>
    <r>
      <rPr>
        <b/>
        <sz val="12"/>
        <color rgb="FFFF0000"/>
        <rFont val="Meiryo UI"/>
        <family val="3"/>
        <charset val="128"/>
      </rPr>
      <t>！左記で「含まれていません」が選択されていない場合、OTAFFは本申請を審査せず、申請者に差し戻しします。</t>
    </r>
    <rPh sb="17" eb="19">
      <t>ギノウ</t>
    </rPh>
    <rPh sb="19" eb="21">
      <t>ジッシュウ</t>
    </rPh>
    <rPh sb="21" eb="22">
      <t>オヨ</t>
    </rPh>
    <rPh sb="25" eb="27">
      <t>シュウロウ</t>
    </rPh>
    <rPh sb="27" eb="29">
      <t>フカ</t>
    </rPh>
    <rPh sb="57" eb="58">
      <t>フク</t>
    </rPh>
    <rPh sb="67" eb="69">
      <t>センタク</t>
    </rPh>
    <rPh sb="71" eb="72">
      <t>クダ</t>
    </rPh>
    <rPh sb="110" eb="112">
      <t>タイザイ</t>
    </rPh>
    <rPh sb="120" eb="124">
      <t>ギノウジッシュウ</t>
    </rPh>
    <rPh sb="124" eb="125">
      <t>オヨ</t>
    </rPh>
    <rPh sb="136" eb="138">
      <t>ジュウジ</t>
    </rPh>
    <rPh sb="142" eb="145">
      <t>カンリトウ</t>
    </rPh>
    <rPh sb="164" eb="166">
      <t>サキ</t>
    </rPh>
    <rPh sb="168" eb="169">
      <t>フク</t>
    </rPh>
    <rPh sb="178" eb="180">
      <t>センタク</t>
    </rPh>
    <phoneticPr fontId="1"/>
  </si>
  <si>
    <t>↑▼から選択</t>
    <rPh sb="4" eb="6">
      <t>センタク</t>
    </rPh>
    <phoneticPr fontId="1"/>
  </si>
  <si>
    <t>受験予定日(または受験日)</t>
    <rPh sb="0" eb="1">
      <t>ジュ</t>
    </rPh>
    <rPh sb="1" eb="2">
      <t>ゲン</t>
    </rPh>
    <rPh sb="2" eb="3">
      <t>ヨ</t>
    </rPh>
    <rPh sb="3" eb="4">
      <t>サダム</t>
    </rPh>
    <rPh sb="4" eb="5">
      <t>ニチ</t>
    </rPh>
    <rPh sb="9" eb="12">
      <t>ジュケンビ</t>
    </rPh>
    <phoneticPr fontId="1"/>
  </si>
  <si>
    <t>（記入形式：YYYY年MM月DD日→YYYY/MM/DD）※実務経験満了見込みで受験し、２年間の実務経験を終了した場合、実受験日を記載。</t>
    <rPh sb="30" eb="34">
      <t>ジツムケイケン</t>
    </rPh>
    <rPh sb="34" eb="36">
      <t>マンリョウ</t>
    </rPh>
    <rPh sb="36" eb="38">
      <t>ミコ</t>
    </rPh>
    <rPh sb="40" eb="42">
      <t>ジュケン</t>
    </rPh>
    <rPh sb="45" eb="47">
      <t>ネンカン</t>
    </rPh>
    <rPh sb="48" eb="50">
      <t>ジツム</t>
    </rPh>
    <rPh sb="50" eb="52">
      <t>ケイケン</t>
    </rPh>
    <rPh sb="53" eb="55">
      <t>シュウリョウ</t>
    </rPh>
    <rPh sb="57" eb="59">
      <t>バアイ</t>
    </rPh>
    <rPh sb="60" eb="61">
      <t>ジツ</t>
    </rPh>
    <rPh sb="61" eb="64">
      <t>ジュケンビ</t>
    </rPh>
    <rPh sb="65" eb="67">
      <t>キサイ</t>
    </rPh>
    <phoneticPr fontId="1"/>
  </si>
  <si>
    <t>古い順番にA,B,Cの順に記入して下さい</t>
    <rPh sb="0" eb="1">
      <t>フル</t>
    </rPh>
    <rPh sb="2" eb="4">
      <t>ジュンバン</t>
    </rPh>
    <rPh sb="11" eb="12">
      <t>ジュン</t>
    </rPh>
    <rPh sb="13" eb="15">
      <t>キニュウ</t>
    </rPh>
    <rPh sb="17" eb="18">
      <t>クダ</t>
    </rPh>
    <phoneticPr fontId="1"/>
  </si>
  <si>
    <t>企業A</t>
    <rPh sb="0" eb="2">
      <t>キギョウ</t>
    </rPh>
    <phoneticPr fontId="1"/>
  </si>
  <si>
    <t>企業名</t>
    <rPh sb="0" eb="3">
      <t>キギョウメイ</t>
    </rPh>
    <phoneticPr fontId="1"/>
  </si>
  <si>
    <t>企業Aは①試験の業種と同一であることが必要です。</t>
    <rPh sb="0" eb="2">
      <t>キギョウ</t>
    </rPh>
    <rPh sb="5" eb="7">
      <t>シケン</t>
    </rPh>
    <rPh sb="8" eb="10">
      <t>ギョウシュ</t>
    </rPh>
    <rPh sb="11" eb="13">
      <t>ドウイツ</t>
    </rPh>
    <rPh sb="19" eb="21">
      <t>ヒツヨウ</t>
    </rPh>
    <phoneticPr fontId="1"/>
  </si>
  <si>
    <t>管理/指導等実務経験
開始日（注３、注４）</t>
    <rPh sb="0" eb="2">
      <t>カンリ</t>
    </rPh>
    <rPh sb="3" eb="5">
      <t>シドウ</t>
    </rPh>
    <rPh sb="5" eb="6">
      <t>ナド</t>
    </rPh>
    <rPh sb="6" eb="8">
      <t>ジツム</t>
    </rPh>
    <rPh sb="8" eb="10">
      <t>ケイケン</t>
    </rPh>
    <rPh sb="11" eb="14">
      <t>カイシビ</t>
    </rPh>
    <rPh sb="15" eb="16">
      <t>チュウ</t>
    </rPh>
    <rPh sb="18" eb="19">
      <t>チュウ</t>
    </rPh>
    <phoneticPr fontId="1"/>
  </si>
  <si>
    <t>b)</t>
    <phoneticPr fontId="1"/>
  </si>
  <si>
    <t>管理/指導等実務経験
終了日（注５）</t>
    <rPh sb="11" eb="14">
      <t>シュウリョウビ</t>
    </rPh>
    <rPh sb="15" eb="16">
      <t>チュウ</t>
    </rPh>
    <phoneticPr fontId="1"/>
  </si>
  <si>
    <t>新規申請の場合、試験日前日までの日付を設定できます。</t>
    <rPh sb="0" eb="4">
      <t>シンキシンセイ</t>
    </rPh>
    <rPh sb="5" eb="7">
      <t>バアイ</t>
    </rPh>
    <rPh sb="8" eb="11">
      <t>シケンビ</t>
    </rPh>
    <rPh sb="11" eb="13">
      <t>ゼンジツ</t>
    </rPh>
    <rPh sb="16" eb="18">
      <t>ヒヅケ</t>
    </rPh>
    <rPh sb="19" eb="21">
      <t>セッテイ</t>
    </rPh>
    <phoneticPr fontId="1"/>
  </si>
  <si>
    <t>特定技能2号受験に関する新規受験者登録です。</t>
  </si>
  <si>
    <r>
      <rPr>
        <b/>
        <sz val="12"/>
        <color theme="1"/>
        <rFont val="Meiryo UI"/>
        <family val="3"/>
        <charset val="128"/>
      </rPr>
      <t>（注３）</t>
    </r>
    <r>
      <rPr>
        <sz val="12"/>
        <color theme="1"/>
        <rFont val="Meiryo UI"/>
        <family val="3"/>
        <charset val="128"/>
      </rPr>
      <t xml:space="preserve">a)管理等/指導等実務経験開始日は、②a)の日付けよりも後の日になっているか注意してください。(特定技能1号の人の場合）
</t>
    </r>
    <r>
      <rPr>
        <b/>
        <sz val="12"/>
        <color theme="1"/>
        <rFont val="Meiryo UI"/>
        <family val="3"/>
        <charset val="128"/>
      </rPr>
      <t>（注４）飲食料品製造業の場合</t>
    </r>
    <r>
      <rPr>
        <sz val="12"/>
        <color theme="1"/>
        <rFont val="Meiryo UI"/>
        <family val="3"/>
        <charset val="128"/>
      </rPr>
      <t xml:space="preserve">、管理等実務経験の開始日は管理職相当となった日（辞令の発令があればその日）を記載してください。
　　　　　　ただし、中途採用者のうち、管理職相当で雇用した場合は入社日が管理等実務経験を積んだ期間の開始日となります。
</t>
    </r>
    <r>
      <rPr>
        <b/>
        <sz val="12"/>
        <color theme="1"/>
        <rFont val="Meiryo UI"/>
        <family val="3"/>
        <charset val="128"/>
      </rPr>
      <t>　　　　　　外食業の場合</t>
    </r>
    <r>
      <rPr>
        <sz val="12"/>
        <color theme="1"/>
        <rFont val="Meiryo UI"/>
        <family val="3"/>
        <charset val="128"/>
      </rPr>
      <t>、指導等実務経験の開始日は店舗管理補助者（副店長、サブマネージャー等）となった日（辞令の発令があればその日）
　　　　　　を記載してください。ただし、中途採用者のうち、店舗管理補助者として雇用した場合は入社日が指導等実務経験を積んだ期間の開始日
　　　　　　となります。企業B,C欄も同様です。</t>
    </r>
    <rPh sb="1" eb="2">
      <t>チュウ</t>
    </rPh>
    <rPh sb="6" eb="8">
      <t>カンリ</t>
    </rPh>
    <rPh sb="8" eb="9">
      <t>トウ</t>
    </rPh>
    <rPh sb="10" eb="12">
      <t>シドウ</t>
    </rPh>
    <rPh sb="12" eb="13">
      <t>トウ</t>
    </rPh>
    <rPh sb="13" eb="15">
      <t>ジツム</t>
    </rPh>
    <rPh sb="15" eb="17">
      <t>ケイケン</t>
    </rPh>
    <rPh sb="17" eb="20">
      <t>カイシビ</t>
    </rPh>
    <rPh sb="26" eb="28">
      <t>ヒヅ</t>
    </rPh>
    <rPh sb="32" eb="33">
      <t>アト</t>
    </rPh>
    <rPh sb="34" eb="35">
      <t>ヒ</t>
    </rPh>
    <rPh sb="42" eb="44">
      <t>チュウイ</t>
    </rPh>
    <rPh sb="52" eb="56">
      <t>トクテイギノウ</t>
    </rPh>
    <rPh sb="57" eb="58">
      <t>ゴウ</t>
    </rPh>
    <rPh sb="59" eb="60">
      <t>ヒト</t>
    </rPh>
    <rPh sb="61" eb="63">
      <t>バアイ</t>
    </rPh>
    <rPh sb="66" eb="67">
      <t>チュウ</t>
    </rPh>
    <rPh sb="69" eb="73">
      <t>インショクリョウヒン</t>
    </rPh>
    <rPh sb="73" eb="76">
      <t>セイゾウギョウ</t>
    </rPh>
    <rPh sb="77" eb="79">
      <t>バアイ</t>
    </rPh>
    <rPh sb="193" eb="196">
      <t>ガイショクギョウ</t>
    </rPh>
    <rPh sb="197" eb="199">
      <t>バアイ</t>
    </rPh>
    <rPh sb="334" eb="336">
      <t>キギョウ</t>
    </rPh>
    <rPh sb="339" eb="340">
      <t>ラン</t>
    </rPh>
    <rPh sb="341" eb="343">
      <t>ドウヨウ</t>
    </rPh>
    <phoneticPr fontId="1"/>
  </si>
  <si>
    <r>
      <rPr>
        <b/>
        <sz val="12"/>
        <color theme="1"/>
        <rFont val="Meiryo UI"/>
        <family val="3"/>
        <charset val="128"/>
      </rPr>
      <t>（注５）</t>
    </r>
    <r>
      <rPr>
        <sz val="12"/>
        <color theme="1"/>
        <rFont val="Meiryo UI"/>
        <family val="3"/>
        <charset val="128"/>
      </rPr>
      <t>b)管理/指導等実務経験終了日は、受験予定日の前日まで指定可能です。記入時点で、管理/指導等実務に従事中の場合は、
　　　　　　試験予定日の前日の日付を入力してください。以下、企業B,C欄も同様です。
             但し、実務経験満了予定者が実務経験を終了した場合は、実務経験終了日を記入して下さい。</t>
    </r>
    <rPh sb="38" eb="42">
      <t>キニュウジテン</t>
    </rPh>
    <rPh sb="44" eb="46">
      <t>カンリ</t>
    </rPh>
    <rPh sb="47" eb="49">
      <t>シドウ</t>
    </rPh>
    <rPh sb="49" eb="50">
      <t>トウ</t>
    </rPh>
    <rPh sb="50" eb="52">
      <t>ジツム</t>
    </rPh>
    <rPh sb="53" eb="55">
      <t>ジュウジ</t>
    </rPh>
    <rPh sb="55" eb="56">
      <t>チュウ</t>
    </rPh>
    <rPh sb="57" eb="59">
      <t>バアイ</t>
    </rPh>
    <rPh sb="68" eb="70">
      <t>シケン</t>
    </rPh>
    <rPh sb="70" eb="72">
      <t>ヨテイ</t>
    </rPh>
    <rPh sb="72" eb="73">
      <t>ビ</t>
    </rPh>
    <rPh sb="74" eb="76">
      <t>ゼンジツ</t>
    </rPh>
    <rPh sb="77" eb="79">
      <t>ヒヅケ</t>
    </rPh>
    <rPh sb="80" eb="82">
      <t>ニュウリョク</t>
    </rPh>
    <rPh sb="118" eb="119">
      <t>タダ</t>
    </rPh>
    <rPh sb="121" eb="125">
      <t>ジツムケイケン</t>
    </rPh>
    <rPh sb="125" eb="127">
      <t>マンリョウ</t>
    </rPh>
    <rPh sb="127" eb="129">
      <t>ヨテイ</t>
    </rPh>
    <rPh sb="129" eb="130">
      <t>シャ</t>
    </rPh>
    <rPh sb="131" eb="133">
      <t>ジツム</t>
    </rPh>
    <rPh sb="133" eb="135">
      <t>ケイケン</t>
    </rPh>
    <rPh sb="136" eb="138">
      <t>シュウリョウ</t>
    </rPh>
    <rPh sb="140" eb="142">
      <t>バアイ</t>
    </rPh>
    <rPh sb="144" eb="146">
      <t>ジツム</t>
    </rPh>
    <rPh sb="146" eb="148">
      <t>ケイケン</t>
    </rPh>
    <rPh sb="148" eb="151">
      <t>シュウリョウビ</t>
    </rPh>
    <rPh sb="152" eb="154">
      <t>キニュウ</t>
    </rPh>
    <rPh sb="156" eb="157">
      <t>クダ</t>
    </rPh>
    <phoneticPr fontId="1"/>
  </si>
  <si>
    <t>管理/指導等実務経験期間</t>
    <rPh sb="0" eb="2">
      <t>カンリ</t>
    </rPh>
    <rPh sb="3" eb="5">
      <t>シドウ</t>
    </rPh>
    <rPh sb="5" eb="6">
      <t>トウ</t>
    </rPh>
    <rPh sb="6" eb="8">
      <t>ジツム</t>
    </rPh>
    <rPh sb="8" eb="10">
      <t>ケイケン</t>
    </rPh>
    <rPh sb="10" eb="12">
      <t>キカン</t>
    </rPh>
    <phoneticPr fontId="1"/>
  </si>
  <si>
    <t>d)</t>
    <phoneticPr fontId="1"/>
  </si>
  <si>
    <r>
      <t xml:space="preserve">就いていた役職
</t>
    </r>
    <r>
      <rPr>
        <sz val="12"/>
        <color rgb="FFFF0000"/>
        <rFont val="Meiryo UI"/>
        <family val="3"/>
        <charset val="128"/>
      </rPr>
      <t>注意）</t>
    </r>
    <r>
      <rPr>
        <sz val="10"/>
        <color theme="1"/>
        <rFont val="Meiryo UI"/>
        <family val="3"/>
        <charset val="128"/>
      </rPr>
      <t>役職が御社独自呼称の場合
○○「◯◯は当社役職者です」と記入下さい。例　チェックマン(チェックマンは当社役職者です)</t>
    </r>
    <r>
      <rPr>
        <sz val="12"/>
        <color theme="1"/>
        <rFont val="Meiryo UI"/>
        <family val="3"/>
        <charset val="128"/>
      </rPr>
      <t>　</t>
    </r>
    <r>
      <rPr>
        <sz val="10"/>
        <color rgb="FFFF0000"/>
        <rFont val="Meiryo UI"/>
        <family val="3"/>
        <charset val="128"/>
      </rPr>
      <t>役職が無い場合は欄外参照</t>
    </r>
    <rPh sb="8" eb="10">
      <t>チュウイ</t>
    </rPh>
    <rPh sb="70" eb="72">
      <t>ヤクショク</t>
    </rPh>
    <rPh sb="73" eb="74">
      <t>ナ</t>
    </rPh>
    <rPh sb="75" eb="77">
      <t>バアイ</t>
    </rPh>
    <rPh sb="78" eb="80">
      <t>ランガイ</t>
    </rPh>
    <rPh sb="80" eb="82">
      <t>サンショウ</t>
    </rPh>
    <phoneticPr fontId="1"/>
  </si>
  <si>
    <r>
      <rPr>
        <b/>
        <sz val="14"/>
        <color rgb="FFFF0000"/>
        <rFont val="Meiryo UI"/>
        <family val="3"/>
        <charset val="128"/>
      </rPr>
      <t>【重要】役職が無い人の場合の必要書類</t>
    </r>
    <r>
      <rPr>
        <sz val="10"/>
        <color rgb="FFFF0000"/>
        <rFont val="Meiryo UI"/>
        <family val="3"/>
        <charset val="128"/>
      </rPr>
      <t>：</t>
    </r>
    <r>
      <rPr>
        <sz val="10"/>
        <rFont val="Meiryo UI"/>
        <family val="3"/>
        <charset val="128"/>
      </rPr>
      <t>管理業務従事に対する報酬が分かる給与台帳(</t>
    </r>
    <r>
      <rPr>
        <u/>
        <sz val="10"/>
        <rFont val="Meiryo UI"/>
        <family val="3"/>
        <charset val="128"/>
      </rPr>
      <t>報酬項目にマーカーで色付。基本給に含むは無効</t>
    </r>
    <r>
      <rPr>
        <sz val="10"/>
        <rFont val="Meiryo UI"/>
        <family val="3"/>
        <charset val="128"/>
      </rPr>
      <t>)または業務指示書を任意資料添付欄に付けて下さい。(業務指示書：日付、従業員名、従事させる管理指導業務内容、指示した人の役職、名前、記載したもの)</t>
    </r>
    <r>
      <rPr>
        <sz val="10"/>
        <color rgb="FFFF0000"/>
        <rFont val="Meiryo UI"/>
        <family val="3"/>
        <charset val="128"/>
      </rPr>
      <t xml:space="preserve">
</t>
    </r>
    <rPh sb="1" eb="3">
      <t>ジュウヨウ</t>
    </rPh>
    <rPh sb="9" eb="10">
      <t>ヒト</t>
    </rPh>
    <rPh sb="11" eb="13">
      <t>バアイ</t>
    </rPh>
    <rPh sb="14" eb="16">
      <t>ヒツヨウ</t>
    </rPh>
    <rPh sb="16" eb="18">
      <t>ショルイ</t>
    </rPh>
    <rPh sb="40" eb="42">
      <t>ホウシュウ</t>
    </rPh>
    <rPh sb="42" eb="44">
      <t>コウモク</t>
    </rPh>
    <rPh sb="50" eb="52">
      <t>イロヅ</t>
    </rPh>
    <rPh sb="53" eb="56">
      <t>キホンキュウ</t>
    </rPh>
    <rPh sb="57" eb="58">
      <t>フク</t>
    </rPh>
    <rPh sb="60" eb="62">
      <t>ムコウ</t>
    </rPh>
    <phoneticPr fontId="1"/>
  </si>
  <si>
    <t>①管理/指導している人数</t>
    <rPh sb="1" eb="3">
      <t>カンリ</t>
    </rPh>
    <rPh sb="4" eb="6">
      <t>シドウ</t>
    </rPh>
    <rPh sb="10" eb="12">
      <t>ニンズウ</t>
    </rPh>
    <phoneticPr fontId="1"/>
  </si>
  <si>
    <t>人(２名以上であることが必要)</t>
    <rPh sb="0" eb="1">
      <t>ヒト</t>
    </rPh>
    <rPh sb="3" eb="4">
      <t>メイ</t>
    </rPh>
    <rPh sb="4" eb="6">
      <t>イジョウ</t>
    </rPh>
    <rPh sb="12" eb="14">
      <t>ヒツヨウ</t>
    </rPh>
    <phoneticPr fontId="1"/>
  </si>
  <si>
    <t>②管理業務</t>
    <rPh sb="1" eb="5">
      <t>カンリギョウム</t>
    </rPh>
    <phoneticPr fontId="1"/>
  </si>
  <si>
    <t>↓選択肢から選んだ場合、表示された内容を変更しないで下さい。</t>
    <rPh sb="1" eb="4">
      <t>センタクシ</t>
    </rPh>
    <rPh sb="6" eb="7">
      <t>エラ</t>
    </rPh>
    <rPh sb="9" eb="11">
      <t>バアイ</t>
    </rPh>
    <rPh sb="12" eb="14">
      <t>ヒョウジ</t>
    </rPh>
    <rPh sb="17" eb="19">
      <t>ナイヨウ</t>
    </rPh>
    <rPh sb="20" eb="22">
      <t>ヘンコウ</t>
    </rPh>
    <rPh sb="26" eb="27">
      <t>クダ</t>
    </rPh>
    <phoneticPr fontId="1"/>
  </si>
  <si>
    <t>業務(大項目)：</t>
    <rPh sb="0" eb="2">
      <t>ギョウム</t>
    </rPh>
    <rPh sb="3" eb="6">
      <t>ダイコウモク</t>
    </rPh>
    <phoneticPr fontId="1"/>
  </si>
  <si>
    <t>業務内容(中項目)：</t>
    <rPh sb="0" eb="4">
      <t>ギョウムナイヨウ</t>
    </rPh>
    <rPh sb="5" eb="8">
      <t>チュウコウモク</t>
    </rPh>
    <phoneticPr fontId="1"/>
  </si>
  <si>
    <t>←外食業の場合</t>
    <rPh sb="1" eb="4">
      <t>ガイショクギョウ</t>
    </rPh>
    <rPh sb="5" eb="7">
      <t>バアイ</t>
    </rPh>
    <phoneticPr fontId="1"/>
  </si>
  <si>
    <t>←飲食料品製造業の場合</t>
    <rPh sb="9" eb="11">
      <t>バアイ</t>
    </rPh>
    <phoneticPr fontId="1"/>
  </si>
  <si>
    <t>申請に必要な業務数</t>
    <rPh sb="0" eb="2">
      <t>シンセイ</t>
    </rPh>
    <rPh sb="3" eb="5">
      <t>ヒツヨウ</t>
    </rPh>
    <rPh sb="6" eb="8">
      <t>ギョウム</t>
    </rPh>
    <rPh sb="8" eb="9">
      <t>スウ</t>
    </rPh>
    <phoneticPr fontId="1"/>
  </si>
  <si>
    <r>
      <t>外食業：大項目で店舗管理から１つ以上の中項目の管理業務経験が必要、に加え
　　　　　　大項目で店舗管理業務以外の中項目から１つ以上の管理業務経験が必要→</t>
    </r>
    <r>
      <rPr>
        <sz val="12"/>
        <color rgb="FFFF0000"/>
        <rFont val="Meiryo UI"/>
        <family val="3"/>
        <charset val="128"/>
      </rPr>
      <t>計中項目で２個以上の管理業務経験が必要　</t>
    </r>
    <rPh sb="0" eb="3">
      <t>ガイショクギョウ</t>
    </rPh>
    <rPh sb="4" eb="7">
      <t>ダイコウモク</t>
    </rPh>
    <rPh sb="30" eb="32">
      <t>ヒツヨウ</t>
    </rPh>
    <rPh sb="34" eb="35">
      <t>クワ</t>
    </rPh>
    <rPh sb="43" eb="46">
      <t>ダイコウモク</t>
    </rPh>
    <rPh sb="73" eb="75">
      <t>ヒツヨウ</t>
    </rPh>
    <phoneticPr fontId="1"/>
  </si>
  <si>
    <r>
      <t>飲食料品製造業：</t>
    </r>
    <r>
      <rPr>
        <sz val="12"/>
        <color rgb="FFFF0000"/>
        <rFont val="Meiryo UI"/>
        <family val="3"/>
        <charset val="128"/>
      </rPr>
      <t>中項目から2つ以上の管理業務経験が必要</t>
    </r>
    <r>
      <rPr>
        <sz val="12"/>
        <rFont val="Meiryo UI"/>
        <family val="3"/>
        <charset val="128"/>
      </rPr>
      <t>(同一の大項目から２つ以上の中項目でも可)　</t>
    </r>
    <rPh sb="0" eb="4">
      <t>インショクリョウヒン</t>
    </rPh>
    <rPh sb="4" eb="7">
      <t>セイゾウギョウ</t>
    </rPh>
    <phoneticPr fontId="1"/>
  </si>
  <si>
    <t>③指導業務</t>
    <rPh sb="1" eb="5">
      <t>シドウギョウム</t>
    </rPh>
    <phoneticPr fontId="1"/>
  </si>
  <si>
    <r>
      <t>外食業：</t>
    </r>
    <r>
      <rPr>
        <sz val="12"/>
        <color rgb="FFFF0000"/>
        <rFont val="Meiryo UI"/>
        <family val="3"/>
        <charset val="128"/>
      </rPr>
      <t>中項目から１つ以上</t>
    </r>
    <r>
      <rPr>
        <sz val="12"/>
        <rFont val="Meiryo UI"/>
        <family val="3"/>
        <charset val="128"/>
      </rPr>
      <t>の指導業務経験が必須</t>
    </r>
    <rPh sb="0" eb="3">
      <t>ガイショクギョウ</t>
    </rPh>
    <phoneticPr fontId="1"/>
  </si>
  <si>
    <r>
      <t>飲食料品製造業：</t>
    </r>
    <r>
      <rPr>
        <sz val="12"/>
        <color rgb="FFFF0000"/>
        <rFont val="Meiryo UI"/>
        <family val="3"/>
        <charset val="128"/>
      </rPr>
      <t>中項目から２つ以上</t>
    </r>
    <r>
      <rPr>
        <sz val="12"/>
        <rFont val="Meiryo UI"/>
        <family val="3"/>
        <charset val="128"/>
      </rPr>
      <t>の指導業務経験が必要(同一の大項目から２つの中項目でも可)　</t>
    </r>
    <phoneticPr fontId="1"/>
  </si>
  <si>
    <t>企業B</t>
    <rPh sb="0" eb="2">
      <t>キギョウ</t>
    </rPh>
    <phoneticPr fontId="1"/>
  </si>
  <si>
    <t>企業Bは①試験の業種と同一であることが必要です。</t>
    <rPh sb="0" eb="2">
      <t>キギョウ</t>
    </rPh>
    <rPh sb="5" eb="7">
      <t>シケン</t>
    </rPh>
    <rPh sb="8" eb="10">
      <t>ギョウシュ</t>
    </rPh>
    <rPh sb="11" eb="13">
      <t>ドウイツ</t>
    </rPh>
    <rPh sb="19" eb="21">
      <t>ヒツヨウ</t>
    </rPh>
    <phoneticPr fontId="1"/>
  </si>
  <si>
    <t>役職が無い人の必要書類：企業Aのd)欄を参照して対応が必要です。</t>
    <rPh sb="0" eb="2">
      <t>ヤクショク</t>
    </rPh>
    <rPh sb="3" eb="4">
      <t>ナ</t>
    </rPh>
    <rPh sb="5" eb="6">
      <t>ヒト</t>
    </rPh>
    <rPh sb="7" eb="9">
      <t>ヒツヨウ</t>
    </rPh>
    <rPh sb="9" eb="11">
      <t>ショルイ</t>
    </rPh>
    <rPh sb="12" eb="14">
      <t>キギョウ</t>
    </rPh>
    <rPh sb="18" eb="19">
      <t>ラン</t>
    </rPh>
    <rPh sb="20" eb="22">
      <t>サンショウ</t>
    </rPh>
    <rPh sb="24" eb="26">
      <t>タイオウ</t>
    </rPh>
    <rPh sb="27" eb="29">
      <t>ヒツヨウ</t>
    </rPh>
    <phoneticPr fontId="1"/>
  </si>
  <si>
    <r>
      <t>管理/指導等実務経験を行なっている業務内容を選択して下さい</t>
    </r>
    <r>
      <rPr>
        <sz val="10"/>
        <color theme="1"/>
        <rFont val="Meiryo UI"/>
        <family val="3"/>
        <charset val="128"/>
      </rPr>
      <t xml:space="preserve">							</t>
    </r>
    <rPh sb="22" eb="24">
      <t>センタク</t>
    </rPh>
    <rPh sb="26" eb="27">
      <t>クダ</t>
    </rPh>
    <phoneticPr fontId="1"/>
  </si>
  <si>
    <t>企業C</t>
    <rPh sb="0" eb="2">
      <t>キギョウ</t>
    </rPh>
    <phoneticPr fontId="1"/>
  </si>
  <si>
    <t>企業Cは①試験の業種と同一であることが必要です。</t>
    <rPh sb="0" eb="2">
      <t>キギョウ</t>
    </rPh>
    <rPh sb="5" eb="7">
      <t>シケン</t>
    </rPh>
    <rPh sb="8" eb="10">
      <t>ギョウシュ</t>
    </rPh>
    <rPh sb="11" eb="13">
      <t>ドウイツ</t>
    </rPh>
    <rPh sb="19" eb="21">
      <t>ヒツヨウ</t>
    </rPh>
    <phoneticPr fontId="1"/>
  </si>
  <si>
    <r>
      <t>④ 管理/指導等実務経験要件判定</t>
    </r>
    <r>
      <rPr>
        <sz val="12"/>
        <color theme="1"/>
        <rFont val="Meiryo UI"/>
        <family val="3"/>
        <charset val="128"/>
      </rPr>
      <t>(実務経験証明書を提出して受験可能か、誓約書を提出して受験可能か、いずれにも該当せず受験不可かの判定)</t>
    </r>
    <rPh sb="2" eb="4">
      <t>カンリ</t>
    </rPh>
    <rPh sb="5" eb="7">
      <t>シドウ</t>
    </rPh>
    <rPh sb="7" eb="8">
      <t>トウ</t>
    </rPh>
    <rPh sb="8" eb="12">
      <t>ジツムケイケン</t>
    </rPh>
    <rPh sb="12" eb="14">
      <t>ヨウケン</t>
    </rPh>
    <rPh sb="14" eb="16">
      <t>ハンテイ</t>
    </rPh>
    <rPh sb="17" eb="21">
      <t>ジツムケイケン</t>
    </rPh>
    <rPh sb="21" eb="24">
      <t>ショウメイショ</t>
    </rPh>
    <rPh sb="25" eb="27">
      <t>テイシュツ</t>
    </rPh>
    <rPh sb="29" eb="33">
      <t>ジュケンカノウ</t>
    </rPh>
    <rPh sb="35" eb="38">
      <t>セイヤクショ</t>
    </rPh>
    <rPh sb="39" eb="41">
      <t>テイシュツ</t>
    </rPh>
    <rPh sb="43" eb="45">
      <t>ジュケン</t>
    </rPh>
    <rPh sb="45" eb="47">
      <t>カノウ</t>
    </rPh>
    <rPh sb="54" eb="56">
      <t>ガイトウ</t>
    </rPh>
    <rPh sb="58" eb="60">
      <t>ジュケン</t>
    </rPh>
    <rPh sb="60" eb="62">
      <t>フカ</t>
    </rPh>
    <rPh sb="64" eb="66">
      <t>ハンテイ</t>
    </rPh>
    <phoneticPr fontId="1"/>
  </si>
  <si>
    <t>管理等実務経験期間合計</t>
    <phoneticPr fontId="1"/>
  </si>
  <si>
    <t>④受験可否
判定</t>
    <rPh sb="1" eb="3">
      <t>ジュケン</t>
    </rPh>
    <rPh sb="3" eb="5">
      <t>カヒ</t>
    </rPh>
    <rPh sb="6" eb="8">
      <t>ハンテイ</t>
    </rPh>
    <phoneticPr fontId="1"/>
  </si>
  <si>
    <r>
      <t>④判定で、管理/指導等実務経験の期間が不足となった場合、</t>
    </r>
    <r>
      <rPr>
        <b/>
        <sz val="12"/>
        <color rgb="FFFF0000"/>
        <rFont val="Meiryo UI"/>
        <family val="3"/>
        <charset val="128"/>
      </rPr>
      <t>特定技能1号の人のみ</t>
    </r>
    <r>
      <rPr>
        <b/>
        <sz val="12"/>
        <rFont val="Meiryo UI"/>
        <family val="3"/>
        <charset val="128"/>
      </rPr>
      <t xml:space="preserve">、この⑤「経過措置による受験可否判定a,b」を確認してください。
</t>
    </r>
    <r>
      <rPr>
        <sz val="12"/>
        <rFont val="Meiryo UI"/>
        <family val="3"/>
        <charset val="128"/>
      </rPr>
      <t>管理等実務経験期間が2年を満たさず不足してる人でも、在留資格が特定技能１号の人で、</t>
    </r>
    <r>
      <rPr>
        <b/>
        <sz val="12"/>
        <rFont val="Meiryo UI"/>
        <family val="3"/>
        <charset val="128"/>
      </rPr>
      <t>条件a),b)の全てに該当する人</t>
    </r>
    <r>
      <rPr>
        <sz val="12"/>
        <rFont val="Meiryo UI"/>
        <family val="3"/>
        <charset val="128"/>
      </rPr>
      <t>は、実務経験期間に関する経過措置が適応され、受験申請が可能となります。</t>
    </r>
    <rPh sb="8" eb="10">
      <t>シドウ</t>
    </rPh>
    <rPh sb="16" eb="18">
      <t>キカン</t>
    </rPh>
    <rPh sb="28" eb="30">
      <t>トクテイ</t>
    </rPh>
    <rPh sb="30" eb="32">
      <t>ギノウ</t>
    </rPh>
    <rPh sb="33" eb="34">
      <t>ゴウ</t>
    </rPh>
    <rPh sb="35" eb="36">
      <t>ヒト</t>
    </rPh>
    <rPh sb="43" eb="47">
      <t>ケイカソチ</t>
    </rPh>
    <rPh sb="50" eb="54">
      <t>ジュケンカヒ</t>
    </rPh>
    <rPh sb="54" eb="56">
      <t>ハンテイ</t>
    </rPh>
    <rPh sb="61" eb="63">
      <t>カクニン</t>
    </rPh>
    <rPh sb="82" eb="83">
      <t>ネン</t>
    </rPh>
    <rPh sb="84" eb="85">
      <t>ミ</t>
    </rPh>
    <rPh sb="120" eb="121">
      <t>スベ</t>
    </rPh>
    <phoneticPr fontId="1"/>
  </si>
  <si>
    <r>
      <rPr>
        <b/>
        <sz val="12"/>
        <color theme="1"/>
        <rFont val="Meiryo UI"/>
        <family val="3"/>
        <charset val="128"/>
      </rPr>
      <t>条件a)</t>
    </r>
    <r>
      <rPr>
        <sz val="12"/>
        <color theme="1"/>
        <rFont val="Meiryo UI"/>
        <family val="3"/>
        <charset val="128"/>
      </rPr>
      <t>2023年6月9日時点で受験する分野での在留期間が、既に</t>
    </r>
    <r>
      <rPr>
        <b/>
        <sz val="12"/>
        <color theme="1"/>
        <rFont val="Meiryo UI"/>
        <family val="3"/>
        <charset val="128"/>
      </rPr>
      <t>2年6ヶ月以上経過</t>
    </r>
    <r>
      <rPr>
        <sz val="12"/>
        <color theme="1"/>
        <rFont val="Meiryo UI"/>
        <family val="3"/>
        <charset val="128"/>
      </rPr>
      <t>していること
　　　　　（※2023年6月9日時点で受験する分野での在留期間が2年6ヶ月ちょうどの場合、判定が"経過措置の条件に該当せず"と表示されますが、
　　　　　　　実際には条件aに該当します。）</t>
    </r>
    <rPh sb="0" eb="2">
      <t>ジョウケン</t>
    </rPh>
    <rPh sb="8" eb="9">
      <t>ネン</t>
    </rPh>
    <rPh sb="10" eb="11">
      <t>ガツ</t>
    </rPh>
    <rPh sb="12" eb="13">
      <t>ヒ</t>
    </rPh>
    <rPh sb="13" eb="15">
      <t>ジテン</t>
    </rPh>
    <rPh sb="16" eb="18">
      <t>ジュケン</t>
    </rPh>
    <rPh sb="20" eb="22">
      <t>ブンヤ</t>
    </rPh>
    <rPh sb="24" eb="26">
      <t>ザイリュウ</t>
    </rPh>
    <rPh sb="26" eb="28">
      <t>キカン</t>
    </rPh>
    <rPh sb="30" eb="31">
      <t>スデ</t>
    </rPh>
    <rPh sb="33" eb="34">
      <t>ネン</t>
    </rPh>
    <rPh sb="36" eb="37">
      <t>ゲツ</t>
    </rPh>
    <rPh sb="37" eb="39">
      <t>イジョウ</t>
    </rPh>
    <rPh sb="39" eb="41">
      <t>ケイカ</t>
    </rPh>
    <rPh sb="81" eb="82">
      <t>ネン</t>
    </rPh>
    <rPh sb="84" eb="85">
      <t>ゲツ</t>
    </rPh>
    <rPh sb="90" eb="92">
      <t>バアイ</t>
    </rPh>
    <rPh sb="93" eb="95">
      <t>ハンテイ</t>
    </rPh>
    <rPh sb="111" eb="113">
      <t>ヒョウジ</t>
    </rPh>
    <rPh sb="127" eb="129">
      <t>ジッサイ</t>
    </rPh>
    <phoneticPr fontId="1"/>
  </si>
  <si>
    <t>2023/6/9時点の　　　　　　　
特定技能１号での在留期間</t>
    <rPh sb="8" eb="10">
      <t>ジテン</t>
    </rPh>
    <rPh sb="19" eb="21">
      <t>トクテイ</t>
    </rPh>
    <rPh sb="21" eb="23">
      <t>ギノウ</t>
    </rPh>
    <rPh sb="24" eb="25">
      <t>ゴウ</t>
    </rPh>
    <rPh sb="27" eb="29">
      <t>ザイリュウ</t>
    </rPh>
    <rPh sb="29" eb="31">
      <t>キカン</t>
    </rPh>
    <phoneticPr fontId="1"/>
  </si>
  <si>
    <t>⑤a
経過措置による受験可否判定a
(2年6ヵ月以上で満たします）</t>
    <rPh sb="20" eb="21">
      <t>ネン</t>
    </rPh>
    <rPh sb="23" eb="24">
      <t>ゲツ</t>
    </rPh>
    <rPh sb="24" eb="26">
      <t>イジョウ</t>
    </rPh>
    <rPh sb="27" eb="28">
      <t>ミ</t>
    </rPh>
    <phoneticPr fontId="1"/>
  </si>
  <si>
    <r>
      <rPr>
        <b/>
        <sz val="12"/>
        <color theme="1"/>
        <rFont val="Meiryo UI"/>
        <family val="3"/>
        <charset val="128"/>
      </rPr>
      <t>条件b)</t>
    </r>
    <r>
      <rPr>
        <sz val="12"/>
        <color theme="1"/>
        <rFont val="Meiryo UI"/>
        <family val="3"/>
        <charset val="128"/>
      </rPr>
      <t>経過措置適用後の</t>
    </r>
    <r>
      <rPr>
        <b/>
        <sz val="12"/>
        <color theme="1"/>
        <rFont val="Meiryo UI"/>
        <family val="3"/>
        <charset val="128"/>
      </rPr>
      <t>必要な実務経験期間より、既に実務経験を積んだ期間の方が長いこと</t>
    </r>
    <rPh sb="0" eb="2">
      <t>ジョウケン</t>
    </rPh>
    <rPh sb="4" eb="8">
      <t>ケイカソチ</t>
    </rPh>
    <rPh sb="8" eb="11">
      <t>テキヨウゴ</t>
    </rPh>
    <rPh sb="15" eb="16">
      <t>ナガ</t>
    </rPh>
    <rPh sb="24" eb="25">
      <t>スデ</t>
    </rPh>
    <rPh sb="26" eb="28">
      <t>ジツム</t>
    </rPh>
    <rPh sb="28" eb="30">
      <t>ケイケン</t>
    </rPh>
    <rPh sb="31" eb="32">
      <t>ツ</t>
    </rPh>
    <rPh sb="34" eb="36">
      <t>キカン</t>
    </rPh>
    <rPh sb="37" eb="38">
      <t>ホウ</t>
    </rPh>
    <rPh sb="39" eb="40">
      <t>ナガ</t>
    </rPh>
    <phoneticPr fontId="1"/>
  </si>
  <si>
    <t>経過措置適用後の必要な
実務経験期間(ⅰ)</t>
    <rPh sb="0" eb="4">
      <t>ケイカソチ</t>
    </rPh>
    <rPh sb="4" eb="6">
      <t>テキヨウ</t>
    </rPh>
    <rPh sb="6" eb="7">
      <t>ゴ</t>
    </rPh>
    <rPh sb="8" eb="10">
      <t>ヒツヨウ</t>
    </rPh>
    <rPh sb="12" eb="14">
      <t>ジツム</t>
    </rPh>
    <rPh sb="14" eb="16">
      <t>ケイケン</t>
    </rPh>
    <rPh sb="16" eb="18">
      <t>キカン</t>
    </rPh>
    <phoneticPr fontId="1"/>
  </si>
  <si>
    <t>既に実務経験を積んだ期間(ⅱ)</t>
    <rPh sb="0" eb="1">
      <t>スデ</t>
    </rPh>
    <rPh sb="7" eb="8">
      <t>ツ</t>
    </rPh>
    <phoneticPr fontId="1"/>
  </si>
  <si>
    <r>
      <t>⑤b
経過措置による受験可否判定b</t>
    </r>
    <r>
      <rPr>
        <b/>
        <sz val="10"/>
        <color theme="1"/>
        <rFont val="Meiryo UI"/>
        <family val="3"/>
        <charset val="128"/>
      </rPr>
      <t xml:space="preserve">
(ⅰ〈ⅱで満たします)</t>
    </r>
    <rPh sb="23" eb="24">
      <t>ミ</t>
    </rPh>
    <phoneticPr fontId="1"/>
  </si>
  <si>
    <t>受験可否判定</t>
    <rPh sb="0" eb="2">
      <t>ジュケン</t>
    </rPh>
    <rPh sb="2" eb="4">
      <t>カヒ</t>
    </rPh>
    <rPh sb="4" eb="6">
      <t>ハンテイ</t>
    </rPh>
    <phoneticPr fontId="1"/>
  </si>
  <si>
    <r>
      <rPr>
        <b/>
        <sz val="12"/>
        <color theme="1"/>
        <rFont val="Meiryo UI"/>
        <family val="3"/>
        <charset val="128"/>
      </rPr>
      <t xml:space="preserve">⑥ </t>
    </r>
    <r>
      <rPr>
        <b/>
        <u val="double"/>
        <sz val="12"/>
        <color theme="1"/>
        <rFont val="Meiryo UI"/>
        <family val="3"/>
        <charset val="128"/>
      </rPr>
      <t>受験できないのは、次のa)、b)のいずれかに当てはまる人です。この場合は受験者登録を完了できません。</t>
    </r>
    <rPh sb="2" eb="4">
      <t>ジュケン</t>
    </rPh>
    <rPh sb="11" eb="12">
      <t>ツギ</t>
    </rPh>
    <rPh sb="24" eb="25">
      <t>ア</t>
    </rPh>
    <rPh sb="29" eb="30">
      <t>ヒト</t>
    </rPh>
    <rPh sb="35" eb="37">
      <t>バアイ</t>
    </rPh>
    <rPh sb="38" eb="43">
      <t>ジュケンシャトウロク</t>
    </rPh>
    <rPh sb="44" eb="46">
      <t>カンリョウ</t>
    </rPh>
    <phoneticPr fontId="1"/>
  </si>
  <si>
    <t>【特定技能１号以外の人】④判定で、試験希望日の前日までに2年の管理/指導等実務経験要件を満たない人</t>
    <rPh sb="1" eb="3">
      <t>トクテイ</t>
    </rPh>
    <rPh sb="3" eb="5">
      <t>ギノウ</t>
    </rPh>
    <rPh sb="6" eb="7">
      <t>ゴウ</t>
    </rPh>
    <rPh sb="7" eb="9">
      <t>イガイ</t>
    </rPh>
    <rPh sb="10" eb="11">
      <t>ヒト</t>
    </rPh>
    <rPh sb="17" eb="19">
      <t>シケン</t>
    </rPh>
    <rPh sb="19" eb="22">
      <t>キボウビ</t>
    </rPh>
    <rPh sb="23" eb="25">
      <t>ゼンジツ</t>
    </rPh>
    <rPh sb="29" eb="30">
      <t>ネン</t>
    </rPh>
    <rPh sb="31" eb="33">
      <t>カンリ</t>
    </rPh>
    <rPh sb="34" eb="36">
      <t>シドウ</t>
    </rPh>
    <rPh sb="36" eb="37">
      <t>トウ</t>
    </rPh>
    <rPh sb="37" eb="41">
      <t>ジツムケイケン</t>
    </rPh>
    <rPh sb="41" eb="43">
      <t>ヨウケン</t>
    </rPh>
    <rPh sb="44" eb="45">
      <t>ミ</t>
    </rPh>
    <rPh sb="48" eb="49">
      <t>ヒト</t>
    </rPh>
    <phoneticPr fontId="1"/>
  </si>
  <si>
    <t>【特定技能1号の人】④判定で試験予定日の前日までに2年の管理/指導等実務経験要件を満たない、かつ⑤の条件a)～b)のいずれかを満たさない人</t>
    <rPh sb="1" eb="3">
      <t>トクテイ</t>
    </rPh>
    <rPh sb="3" eb="5">
      <t>ギノウ</t>
    </rPh>
    <rPh sb="6" eb="7">
      <t>ゴウ</t>
    </rPh>
    <rPh sb="8" eb="9">
      <t>ヒト</t>
    </rPh>
    <rPh sb="16" eb="18">
      <t>ヨテイ</t>
    </rPh>
    <rPh sb="50" eb="52">
      <t>ジョウケン</t>
    </rPh>
    <rPh sb="63" eb="64">
      <t>ミ</t>
    </rPh>
    <rPh sb="68" eb="69">
      <t>ヒト</t>
    </rPh>
    <phoneticPr fontId="1"/>
  </si>
  <si>
    <t>（注：①～③は【A】を入力すると自動作成）</t>
    <phoneticPr fontId="1"/>
  </si>
  <si>
    <r>
      <rPr>
        <sz val="11"/>
        <color theme="0"/>
        <rFont val="Meiryo UI"/>
        <family val="3"/>
        <charset val="128"/>
      </rPr>
      <t>【A】実務経験要件判定シートの入力結果が反映されています。【A】のシートがまだ未入力の場合は、先に【A】にシートから入力してください。
下の</t>
    </r>
    <r>
      <rPr>
        <b/>
        <sz val="11"/>
        <color rgb="FF00B0F0"/>
        <rFont val="Meiryo UI"/>
        <family val="3"/>
        <charset val="128"/>
      </rPr>
      <t>水色のセ</t>
    </r>
    <r>
      <rPr>
        <sz val="11"/>
        <color rgb="FF00B0F0"/>
        <rFont val="Meiryo UI"/>
        <family val="3"/>
        <charset val="128"/>
      </rPr>
      <t>ル</t>
    </r>
    <r>
      <rPr>
        <sz val="11"/>
        <color theme="0"/>
        <rFont val="Meiryo UI"/>
        <family val="3"/>
        <charset val="128"/>
      </rPr>
      <t>を入力して、実務経験証明書を完成させ、企業マイページの該当受験者の受験者登録のページの</t>
    </r>
    <r>
      <rPr>
        <sz val="11"/>
        <color rgb="FFFF0000"/>
        <rFont val="Meiryo UI"/>
        <family val="3"/>
        <charset val="128"/>
      </rPr>
      <t>「実務経験を証明する書類」のところに、このエクセルファイルのままアップロードしてください。</t>
    </r>
    <rPh sb="3" eb="7">
      <t>ジツムケイケン</t>
    </rPh>
    <rPh sb="7" eb="9">
      <t>ヨウケン</t>
    </rPh>
    <rPh sb="9" eb="11">
      <t>ハンテイ</t>
    </rPh>
    <rPh sb="15" eb="17">
      <t>ニュウリョク</t>
    </rPh>
    <rPh sb="17" eb="19">
      <t>ケッカ</t>
    </rPh>
    <rPh sb="20" eb="22">
      <t>ハンエイ</t>
    </rPh>
    <rPh sb="39" eb="42">
      <t>ミニュウリョク</t>
    </rPh>
    <rPh sb="43" eb="45">
      <t>バアイ</t>
    </rPh>
    <rPh sb="47" eb="48">
      <t>サキ</t>
    </rPh>
    <rPh sb="58" eb="60">
      <t>ニュウリョク</t>
    </rPh>
    <rPh sb="68" eb="69">
      <t>シタ</t>
    </rPh>
    <rPh sb="70" eb="72">
      <t>ミズイロ</t>
    </rPh>
    <rPh sb="76" eb="78">
      <t>ニュウリョク</t>
    </rPh>
    <rPh sb="81" eb="88">
      <t>ジツムケイケンショウメイショ</t>
    </rPh>
    <rPh sb="89" eb="91">
      <t>カンセイ</t>
    </rPh>
    <phoneticPr fontId="1"/>
  </si>
  <si>
    <t>(一社）外国人食品産業技能評価機構　殿</t>
    <rPh sb="1" eb="3">
      <t>イッシャ</t>
    </rPh>
    <rPh sb="4" eb="17">
      <t>オタフ</t>
    </rPh>
    <rPh sb="18" eb="19">
      <t>ドノ</t>
    </rPh>
    <phoneticPr fontId="1"/>
  </si>
  <si>
    <t>飲食料品製造業分野または外食業分野における特定技能の在留資格に係る制度の運用に関する方針に規定する２号特定技能外国人に求められる実務経験または指導等実務経験（以下、実務経験）について下記のとおり証明します。</t>
    <rPh sb="0" eb="7">
      <t>インショクリョウヒンセイゾウギョウ</t>
    </rPh>
    <rPh sb="7" eb="9">
      <t>ブンヤ</t>
    </rPh>
    <rPh sb="12" eb="15">
      <t>ガイショクギョウ</t>
    </rPh>
    <rPh sb="15" eb="17">
      <t>ブンヤ</t>
    </rPh>
    <rPh sb="21" eb="23">
      <t>トクテイ</t>
    </rPh>
    <rPh sb="23" eb="25">
      <t>ギノウ</t>
    </rPh>
    <rPh sb="26" eb="28">
      <t>ザイリュウ</t>
    </rPh>
    <rPh sb="28" eb="30">
      <t>シカク</t>
    </rPh>
    <rPh sb="31" eb="32">
      <t>カカワ</t>
    </rPh>
    <rPh sb="33" eb="35">
      <t>セイド</t>
    </rPh>
    <rPh sb="36" eb="38">
      <t>ウンヨウ</t>
    </rPh>
    <rPh sb="39" eb="40">
      <t>カン</t>
    </rPh>
    <rPh sb="42" eb="44">
      <t>ホウシン</t>
    </rPh>
    <rPh sb="45" eb="47">
      <t>キテイ</t>
    </rPh>
    <phoneticPr fontId="1"/>
  </si>
  <si>
    <t>記</t>
    <rPh sb="0" eb="1">
      <t>キ</t>
    </rPh>
    <phoneticPr fontId="1"/>
  </si>
  <si>
    <t>① 受験者</t>
    <rPh sb="2" eb="5">
      <t>ジュケンシャ</t>
    </rPh>
    <phoneticPr fontId="1"/>
  </si>
  <si>
    <t>試　験　の　業　種</t>
    <rPh sb="0" eb="1">
      <t>タメシ</t>
    </rPh>
    <rPh sb="2" eb="3">
      <t>ゲン</t>
    </rPh>
    <rPh sb="6" eb="7">
      <t>ギョウ</t>
    </rPh>
    <rPh sb="8" eb="9">
      <t>シュ</t>
    </rPh>
    <phoneticPr fontId="1"/>
  </si>
  <si>
    <t>➁ 実務経験</t>
    <phoneticPr fontId="1"/>
  </si>
  <si>
    <t>「特定技能１号」として初めて上陸許可又は在留資格変更許可を受けた日</t>
    <phoneticPr fontId="1"/>
  </si>
  <si>
    <t>実務経験を積んだ期間</t>
    <rPh sb="0" eb="2">
      <t>ジツム</t>
    </rPh>
    <rPh sb="2" eb="4">
      <t>ケイケン</t>
    </rPh>
    <rPh sb="5" eb="6">
      <t>ツ</t>
    </rPh>
    <rPh sb="8" eb="10">
      <t>キカン</t>
    </rPh>
    <phoneticPr fontId="1"/>
  </si>
  <si>
    <t>企業Ａ</t>
    <rPh sb="0" eb="2">
      <t>キギョウ</t>
    </rPh>
    <phoneticPr fontId="1"/>
  </si>
  <si>
    <t>企業名</t>
    <rPh sb="0" eb="2">
      <t>キギョウ</t>
    </rPh>
    <rPh sb="2" eb="3">
      <t>メイ</t>
    </rPh>
    <phoneticPr fontId="1"/>
  </si>
  <si>
    <t>a）開始日</t>
    <rPh sb="2" eb="5">
      <t>カイシビ</t>
    </rPh>
    <phoneticPr fontId="1"/>
  </si>
  <si>
    <t>b）終了日</t>
    <rPh sb="2" eb="5">
      <t>シュウリョウヒ</t>
    </rPh>
    <phoneticPr fontId="1"/>
  </si>
  <si>
    <t>c）期間</t>
    <rPh sb="2" eb="4">
      <t>キカン</t>
    </rPh>
    <phoneticPr fontId="1"/>
  </si>
  <si>
    <t>d）就いていた役職</t>
    <rPh sb="2" eb="3">
      <t>ツ</t>
    </rPh>
    <rPh sb="7" eb="9">
      <t>ヤクショク</t>
    </rPh>
    <phoneticPr fontId="1"/>
  </si>
  <si>
    <t>e）業務内容</t>
    <rPh sb="2" eb="6">
      <t>ギョウムナイヨウ</t>
    </rPh>
    <phoneticPr fontId="1"/>
  </si>
  <si>
    <t>　① 管理/指導している人数</t>
    <phoneticPr fontId="1"/>
  </si>
  <si>
    <t>　② 管理業務</t>
    <rPh sb="3" eb="7">
      <t>カンリギョウム</t>
    </rPh>
    <phoneticPr fontId="1"/>
  </si>
  <si>
    <t>　③ 指導業務</t>
    <rPh sb="3" eb="5">
      <t>シドウ</t>
    </rPh>
    <rPh sb="5" eb="7">
      <t>ギョウム</t>
    </rPh>
    <phoneticPr fontId="1"/>
  </si>
  <si>
    <t>企業Ｂ</t>
    <rPh sb="0" eb="2">
      <t>キギョウ</t>
    </rPh>
    <phoneticPr fontId="1"/>
  </si>
  <si>
    <t>企業Ｃ</t>
    <rPh sb="0" eb="2">
      <t>キギョウ</t>
    </rPh>
    <phoneticPr fontId="1"/>
  </si>
  <si>
    <t>実務経験期間の合計</t>
    <rPh sb="0" eb="2">
      <t>ジツム</t>
    </rPh>
    <rPh sb="2" eb="4">
      <t>ケイケン</t>
    </rPh>
    <rPh sb="4" eb="6">
      <t>キカン</t>
    </rPh>
    <rPh sb="7" eb="9">
      <t>ゴウケイ</t>
    </rPh>
    <phoneticPr fontId="1"/>
  </si>
  <si>
    <t>③ 証明書作成日</t>
    <phoneticPr fontId="1"/>
  </si>
  <si>
    <t>（記入形式：YYYY年MM月DD日→YYYY/MM/DD）</t>
    <phoneticPr fontId="1"/>
  </si>
  <si>
    <t>④ 証明書作成者</t>
    <phoneticPr fontId="1"/>
  </si>
  <si>
    <t>住所</t>
    <rPh sb="0" eb="2">
      <t>ジュウショ</t>
    </rPh>
    <phoneticPr fontId="1"/>
  </si>
  <si>
    <t>役職・証明者氏名</t>
    <rPh sb="0" eb="2">
      <t>ヤクショク</t>
    </rPh>
    <rPh sb="3" eb="6">
      <t>ショウメイシャ</t>
    </rPh>
    <rPh sb="6" eb="8">
      <t>シメイ</t>
    </rPh>
    <phoneticPr fontId="1"/>
  </si>
  <si>
    <t>連絡先</t>
    <rPh sb="0" eb="3">
      <t>レンラクサキ</t>
    </rPh>
    <phoneticPr fontId="1"/>
  </si>
  <si>
    <t>（注：①～③はシート【A】を入力すると自動作成）</t>
    <phoneticPr fontId="1"/>
  </si>
  <si>
    <r>
      <rPr>
        <sz val="11"/>
        <color theme="0"/>
        <rFont val="Meiryo UI"/>
        <family val="3"/>
        <charset val="128"/>
      </rPr>
      <t>【A】実務経験要件判定シートの入力結果が反映されています。【A】のシートが未入力の場合は、先に【A】にシートから入力してください。
下の</t>
    </r>
    <r>
      <rPr>
        <b/>
        <sz val="11"/>
        <color rgb="FF00B0F0"/>
        <rFont val="Meiryo UI"/>
        <family val="3"/>
        <charset val="128"/>
      </rPr>
      <t>水色のセル</t>
    </r>
    <r>
      <rPr>
        <sz val="11"/>
        <color theme="0"/>
        <rFont val="Meiryo UI"/>
        <family val="3"/>
        <charset val="128"/>
      </rPr>
      <t>を入力して、この誓約書を完成させ、企業マイページの該当受験者の受験者登録のページの</t>
    </r>
    <r>
      <rPr>
        <sz val="11"/>
        <color rgb="FFFF0000"/>
        <rFont val="Meiryo UI"/>
        <family val="3"/>
        <charset val="128"/>
      </rPr>
      <t>「実務経験を証明する書類」のところに、このエクセルファイルのままアップロードしてください。</t>
    </r>
    <rPh sb="66" eb="67">
      <t>シタ</t>
    </rPh>
    <rPh sb="68" eb="70">
      <t>ミズイロ</t>
    </rPh>
    <rPh sb="74" eb="76">
      <t>ニュウリョク</t>
    </rPh>
    <rPh sb="81" eb="84">
      <t>セイヤクショ</t>
    </rPh>
    <rPh sb="85" eb="87">
      <t>カンセイ</t>
    </rPh>
    <phoneticPr fontId="1"/>
  </si>
  <si>
    <t>飲食料品製造業分野または外食業分野における特定技能の在留資格に係る制度の運用に関する方針に規定する２号特定技能外国人に求められる実務経験について、下記の期間(「実務経験満了予定日」まで)に、２年(注)を満たします。
(注)特定技能1号の経過措置が適用される場合は規定の期間</t>
    <rPh sb="98" eb="99">
      <t>チュウ</t>
    </rPh>
    <phoneticPr fontId="1"/>
  </si>
  <si>
    <t>① 受験者</t>
    <phoneticPr fontId="1"/>
  </si>
  <si>
    <r>
      <t>③ 実務経験を積むことが見込まれる期間</t>
    </r>
    <r>
      <rPr>
        <sz val="10"/>
        <color theme="1"/>
        <rFont val="Meiryo UI"/>
        <family val="3"/>
        <charset val="128"/>
      </rPr>
      <t>(複数社で実務経験した場合、企業A,B,C欄に記入。４社以上の場合、OTAFFへ連絡）</t>
    </r>
    <phoneticPr fontId="1"/>
  </si>
  <si>
    <t>実務経験期間または見込まれる期間</t>
    <rPh sb="0" eb="2">
      <t>ジツム</t>
    </rPh>
    <rPh sb="2" eb="4">
      <t>ケイケン</t>
    </rPh>
    <rPh sb="4" eb="6">
      <t>キカン</t>
    </rPh>
    <rPh sb="9" eb="11">
      <t>ミコ</t>
    </rPh>
    <rPh sb="14" eb="16">
      <t>キカン</t>
    </rPh>
    <phoneticPr fontId="1"/>
  </si>
  <si>
    <t>就いていた役職</t>
    <rPh sb="0" eb="1">
      <t>ツ</t>
    </rPh>
    <rPh sb="5" eb="7">
      <t>ヤクショク</t>
    </rPh>
    <phoneticPr fontId="1"/>
  </si>
  <si>
    <t>業務内容</t>
    <rPh sb="0" eb="4">
      <t>ギョウムナイヨウ</t>
    </rPh>
    <phoneticPr fontId="1"/>
  </si>
  <si>
    <t>既に実務経験を積んだ期間</t>
    <phoneticPr fontId="1"/>
  </si>
  <si>
    <r>
      <t xml:space="preserve">実務経験満了予定日
</t>
    </r>
    <r>
      <rPr>
        <sz val="12"/>
        <color rgb="FFFC6C85"/>
        <rFont val="Meiryo UI"/>
        <family val="3"/>
        <charset val="128"/>
      </rPr>
      <t>(実務経験終了後、【B】証明書をOTAFFに提出し審査が終わるまで合格証書は発行されません)</t>
    </r>
    <rPh sb="0" eb="4">
      <t>ジツムケイケン</t>
    </rPh>
    <rPh sb="4" eb="6">
      <t>マンリョウ</t>
    </rPh>
    <rPh sb="6" eb="8">
      <t>ヨテイ</t>
    </rPh>
    <rPh sb="8" eb="9">
      <t>ビ</t>
    </rPh>
    <rPh sb="11" eb="15">
      <t>ジツムケイケン</t>
    </rPh>
    <rPh sb="15" eb="17">
      <t>シュウリョウ</t>
    </rPh>
    <rPh sb="17" eb="18">
      <t>ゴ</t>
    </rPh>
    <rPh sb="22" eb="25">
      <t>ショウメイショ</t>
    </rPh>
    <rPh sb="32" eb="34">
      <t>テイシュツ</t>
    </rPh>
    <rPh sb="35" eb="37">
      <t>シンサ</t>
    </rPh>
    <rPh sb="38" eb="39">
      <t>オ</t>
    </rPh>
    <rPh sb="43" eb="47">
      <t>ゴウカクショウショ</t>
    </rPh>
    <rPh sb="48" eb="50">
      <t>ハッコウ</t>
    </rPh>
    <phoneticPr fontId="1"/>
  </si>
  <si>
    <r>
      <t xml:space="preserve">
・</t>
    </r>
    <r>
      <rPr>
        <b/>
        <sz val="12"/>
        <color rgb="FFFF0000"/>
        <rFont val="Meiryo UI"/>
        <family val="3"/>
        <charset val="128"/>
      </rPr>
      <t>下記のc)欄が2年以上</t>
    </r>
    <r>
      <rPr>
        <sz val="12"/>
        <color theme="1"/>
        <rFont val="Meiryo UI"/>
        <family val="3"/>
        <charset val="128"/>
      </rPr>
      <t>になるように入力してください。　
・</t>
    </r>
    <r>
      <rPr>
        <sz val="12"/>
        <color rgb="FFFF0000"/>
        <rFont val="Meiryo UI"/>
        <family val="3"/>
        <charset val="128"/>
      </rPr>
      <t>経過措置が適用</t>
    </r>
    <r>
      <rPr>
        <sz val="12"/>
        <color theme="1"/>
        <rFont val="Meiryo UI"/>
        <family val="3"/>
        <charset val="128"/>
      </rPr>
      <t>になる人は、c)が【A】のシートの「経過措置適用後の必要な実務経験期間」 以上となるように入力してください。</t>
    </r>
    <rPh sb="2" eb="4">
      <t>カキ</t>
    </rPh>
    <rPh sb="7" eb="8">
      <t>ラン</t>
    </rPh>
    <rPh sb="10" eb="13">
      <t>ネンイジョウ</t>
    </rPh>
    <rPh sb="19" eb="21">
      <t>ニュウリョク</t>
    </rPh>
    <rPh sb="31" eb="35">
      <t>ケイカソチ</t>
    </rPh>
    <rPh sb="36" eb="38">
      <t>テキヨウ</t>
    </rPh>
    <rPh sb="41" eb="42">
      <t>ヒト</t>
    </rPh>
    <rPh sb="60" eb="63">
      <t>テキヨウゴ</t>
    </rPh>
    <rPh sb="64" eb="66">
      <t>ヒツヨウ</t>
    </rPh>
    <rPh sb="67" eb="73">
      <t>ジツムケイケンキカン</t>
    </rPh>
    <rPh sb="75" eb="77">
      <t>イジョウ</t>
    </rPh>
    <rPh sb="83" eb="85">
      <t>ニュウリョク</t>
    </rPh>
    <phoneticPr fontId="1"/>
  </si>
  <si>
    <t>実務経験を積むことが
見込まれる期間合計</t>
    <rPh sb="0" eb="2">
      <t>ジツム</t>
    </rPh>
    <rPh sb="2" eb="4">
      <t>ケイケン</t>
    </rPh>
    <rPh sb="5" eb="6">
      <t>ツ</t>
    </rPh>
    <rPh sb="11" eb="13">
      <t>ミコ</t>
    </rPh>
    <rPh sb="16" eb="18">
      <t>キカン</t>
    </rPh>
    <rPh sb="18" eb="20">
      <t>ゴウケイ</t>
    </rPh>
    <phoneticPr fontId="1"/>
  </si>
  <si>
    <r>
      <t>！　</t>
    </r>
    <r>
      <rPr>
        <sz val="12"/>
        <rFont val="Meiryo UI"/>
        <family val="3"/>
        <charset val="128"/>
      </rPr>
      <t>２年以上になっているか確認
(経過措置適応を除く)</t>
    </r>
    <rPh sb="3" eb="6">
      <t>ネンイジョウ</t>
    </rPh>
    <rPh sb="13" eb="15">
      <t>カクニン</t>
    </rPh>
    <rPh sb="17" eb="19">
      <t>ケイカ</t>
    </rPh>
    <rPh sb="19" eb="21">
      <t>ソチ</t>
    </rPh>
    <rPh sb="21" eb="23">
      <t>テキオウ</t>
    </rPh>
    <rPh sb="24" eb="25">
      <t>ノゾ</t>
    </rPh>
    <phoneticPr fontId="1"/>
  </si>
  <si>
    <t>上記記載事項に相違ないことを誓約します。</t>
    <rPh sb="0" eb="2">
      <t>ジョウキ</t>
    </rPh>
    <rPh sb="2" eb="4">
      <t>キサイ</t>
    </rPh>
    <rPh sb="4" eb="6">
      <t>ジコウ</t>
    </rPh>
    <rPh sb="7" eb="9">
      <t>ソウイ</t>
    </rPh>
    <rPh sb="14" eb="16">
      <t>セイヤク</t>
    </rPh>
    <phoneticPr fontId="1"/>
  </si>
  <si>
    <t>④ 証明書作成日</t>
    <rPh sb="2" eb="5">
      <t>ショウメイショ</t>
    </rPh>
    <phoneticPr fontId="1"/>
  </si>
  <si>
    <t>⑤ 証明書作成者</t>
    <phoneticPr fontId="1"/>
  </si>
  <si>
    <t>(注)受験者が管理/指導等実務経験要件を満たした際は、改めて、管理/指導等実務経験証明書を作成し、企業マイページの該当の受験者登録のページで実務経験証明書の欄にアップロードしてください。管理/指導等実務経験証明書がアップロードされないと、試験に合格しても合格証書がダウンロードできません。</t>
    <rPh sb="1" eb="2">
      <t>チュウ</t>
    </rPh>
    <rPh sb="3" eb="6">
      <t>ジュケンシャ</t>
    </rPh>
    <rPh sb="7" eb="9">
      <t>カンリ</t>
    </rPh>
    <rPh sb="10" eb="12">
      <t>シドウ</t>
    </rPh>
    <rPh sb="12" eb="13">
      <t>トウ</t>
    </rPh>
    <rPh sb="13" eb="15">
      <t>ジツム</t>
    </rPh>
    <rPh sb="15" eb="17">
      <t>ケイケン</t>
    </rPh>
    <rPh sb="17" eb="19">
      <t>ヨウケン</t>
    </rPh>
    <rPh sb="20" eb="21">
      <t>ミ</t>
    </rPh>
    <rPh sb="24" eb="25">
      <t>サイ</t>
    </rPh>
    <rPh sb="27" eb="28">
      <t>アラタ</t>
    </rPh>
    <rPh sb="31" eb="33">
      <t>カンリ</t>
    </rPh>
    <rPh sb="34" eb="37">
      <t>シドウトウ</t>
    </rPh>
    <rPh sb="37" eb="39">
      <t>ジツム</t>
    </rPh>
    <rPh sb="39" eb="41">
      <t>ケイケン</t>
    </rPh>
    <rPh sb="41" eb="44">
      <t>ショウメイショ</t>
    </rPh>
    <rPh sb="45" eb="47">
      <t>サクセイ</t>
    </rPh>
    <rPh sb="49" eb="51">
      <t>キギョウ</t>
    </rPh>
    <rPh sb="57" eb="59">
      <t>ガイトウ</t>
    </rPh>
    <rPh sb="60" eb="63">
      <t>ジュケンシャ</t>
    </rPh>
    <rPh sb="63" eb="65">
      <t>トウロク</t>
    </rPh>
    <rPh sb="70" eb="74">
      <t>ジツムケイケン</t>
    </rPh>
    <rPh sb="74" eb="77">
      <t>ショウメイショ</t>
    </rPh>
    <rPh sb="78" eb="79">
      <t>ラン</t>
    </rPh>
    <rPh sb="119" eb="121">
      <t>シケン</t>
    </rPh>
    <rPh sb="122" eb="124">
      <t>ゴウカク</t>
    </rPh>
    <phoneticPr fontId="1"/>
  </si>
  <si>
    <t>資料1-1及び2-1の補足資料</t>
    <rPh sb="0" eb="2">
      <t>シリョウ</t>
    </rPh>
    <rPh sb="5" eb="6">
      <t>オヨ</t>
    </rPh>
    <rPh sb="11" eb="13">
      <t>ホソク</t>
    </rPh>
    <rPh sb="13" eb="15">
      <t>シリョウ</t>
    </rPh>
    <phoneticPr fontId="1"/>
  </si>
  <si>
    <t>特定技能２号として従事するための実務経験について(ほぼ受験要件）</t>
    <rPh sb="0" eb="2">
      <t>トクテイ</t>
    </rPh>
    <rPh sb="2" eb="4">
      <t>ギノウ</t>
    </rPh>
    <rPh sb="5" eb="6">
      <t>ゴウ</t>
    </rPh>
    <rPh sb="9" eb="11">
      <t>ジュウジ</t>
    </rPh>
    <rPh sb="16" eb="20">
      <t>ジツムケイケン</t>
    </rPh>
    <rPh sb="27" eb="31">
      <t>ジュケンヨウケン</t>
    </rPh>
    <phoneticPr fontId="1"/>
  </si>
  <si>
    <t>飲食料品製造業の2号特定技能外国人に求められる管理等実務経験</t>
    <rPh sb="0" eb="4">
      <t>インショクリョウヒン</t>
    </rPh>
    <rPh sb="4" eb="7">
      <t>セイゾウギョウ</t>
    </rPh>
    <rPh sb="9" eb="10">
      <t>ゴウ</t>
    </rPh>
    <rPh sb="10" eb="14">
      <t>トクテイギノウ</t>
    </rPh>
    <rPh sb="14" eb="16">
      <t>ガイコク</t>
    </rPh>
    <rPh sb="16" eb="17">
      <t>ジン</t>
    </rPh>
    <rPh sb="18" eb="19">
      <t>モト</t>
    </rPh>
    <rPh sb="23" eb="25">
      <t>カンリ</t>
    </rPh>
    <rPh sb="25" eb="26">
      <t>トウ</t>
    </rPh>
    <rPh sb="26" eb="28">
      <t>ジツム</t>
    </rPh>
    <rPh sb="28" eb="30">
      <t>ケイケン</t>
    </rPh>
    <phoneticPr fontId="1"/>
  </si>
  <si>
    <t>外食業の2号特定技能外国人に求められる指導等実務経験</t>
    <rPh sb="0" eb="2">
      <t>ガイショク</t>
    </rPh>
    <rPh sb="2" eb="3">
      <t>ギョウ</t>
    </rPh>
    <rPh sb="5" eb="6">
      <t>ゴウ</t>
    </rPh>
    <rPh sb="6" eb="10">
      <t>トクテイギノウ</t>
    </rPh>
    <rPh sb="10" eb="12">
      <t>ガイコク</t>
    </rPh>
    <rPh sb="12" eb="13">
      <t>ジン</t>
    </rPh>
    <rPh sb="14" eb="15">
      <t>モト</t>
    </rPh>
    <rPh sb="19" eb="21">
      <t>シドウ</t>
    </rPh>
    <rPh sb="21" eb="22">
      <t>トウ</t>
    </rPh>
    <rPh sb="22" eb="24">
      <t>ジツム</t>
    </rPh>
    <rPh sb="24" eb="26">
      <t>ケイケン</t>
    </rPh>
    <phoneticPr fontId="1"/>
  </si>
  <si>
    <t>特定の分野に係る特定技能外国人受入れに関する運用要領</t>
  </si>
  <si>
    <t>-飲食料品製造業分野の基準について-</t>
    <phoneticPr fontId="1"/>
  </si>
  <si>
    <t>-外食業分野の基準について-</t>
    <rPh sb="1" eb="3">
      <t>ガイショク</t>
    </rPh>
    <phoneticPr fontId="1"/>
  </si>
  <si>
    <t>法務省・農林水産省編（令和5年8月31日一部改正）から抜粋</t>
    <rPh sb="0" eb="3">
      <t>ホウムショウ</t>
    </rPh>
    <rPh sb="4" eb="9">
      <t>ノウリンスイサンショウ</t>
    </rPh>
    <rPh sb="9" eb="10">
      <t>ヘン</t>
    </rPh>
    <rPh sb="11" eb="13">
      <t>レイワ</t>
    </rPh>
    <rPh sb="14" eb="15">
      <t>ネン</t>
    </rPh>
    <rPh sb="16" eb="17">
      <t>ガツ</t>
    </rPh>
    <rPh sb="19" eb="20">
      <t>ニチ</t>
    </rPh>
    <rPh sb="20" eb="22">
      <t>イチブ</t>
    </rPh>
    <rPh sb="22" eb="24">
      <t>カイセイ</t>
    </rPh>
    <rPh sb="27" eb="29">
      <t>バッスイ</t>
    </rPh>
    <phoneticPr fontId="1"/>
  </si>
  <si>
    <t>掲載サイト</t>
    <rPh sb="0" eb="2">
      <t>ケイサイ</t>
    </rPh>
    <phoneticPr fontId="1"/>
  </si>
  <si>
    <t>https://www.moj.go.jp/isa/content/930004952.pdf</t>
    <phoneticPr fontId="1"/>
  </si>
  <si>
    <t>https://www.moj.go.jp/isa/content/930004953.pdf</t>
    <phoneticPr fontId="1"/>
  </si>
  <si>
    <t xml:space="preserve">〇 ２号特定技能外国人として飲食料品製造業分野の業務に従事する場合には、本要領別表に記載された技能試験の合格等に加えて、飲食料品製造業分野において複数の作業員を指導しながら作業に従事し、工程を管理する者としての実務経験を２年以上有することが必要です。 
「複数の従業員を指導しながら作業に従事し」とは、２名以上の技能実習生、アルバイト従業員及び特定技能外国人等を指し、指導・監督を受ける者は日本人を含み、国籍は問いません。また、指導・監督を行う技能実習生、アルバイト従業員及び特定技能外国人等は必ずしも同一人物でなくてもよく、また職場の状況やシフトの都合等により一部の期間又は時間において、２人以上の指導・監督を行わない期間又は時間があっても差し支えありません。この場合の「指導する」とは、作業員に対し直接又は間接的に作業工程等について主導することを想定し、「工程を管理する者」とは、飲食料品製造業分野の対象業種や工場等の規模にもよりますが、事業所責任者（工場長等）が行う飲食料品製造業全般に関する管理業務を補助するものとし、例えば、担当部門長、ライン長、班長等のような役職を想定しています。 
○  なお、実務経験を客観的に証明するものとして、１号特定技能外国人を「工程を管理する者」として従事させる際は、客観的に証明する書類、例えば辞令や職務命令書等をもって、上記に例示した役職を命じ、業務に従事させてください。
○ 飲食料品製造業特定技能２号技能測定試験受験の際に、上記実務経験の有無を確
認します。
○ 飲食料品製造業分野の管理者等実務経験の経過措置に係る必要実務経験期間については、以下の算出方法により計算してください。 
 例） 改正の日時点で飲食料品製造業分野の１号特定技能外国人としての在留期間（再入国出国期間を含む。）が「３年20日」となり、運用要領改正の翌日から特定技能１号の在留期間の上限の日までの残日数が、「１年11か月と10日（23か月と10日）」の場合、実務経験は、そこから６か月を減じた「１年５か月と10日（17か月と10日）以上」必要です。 </t>
    <phoneticPr fontId="1"/>
  </si>
  <si>
    <t xml:space="preserve">○ ２号特定技能外国人として外食業分野の業務に従事する場合には、本要領別表に記載された技能試験及び日本語能力試験の合格に加えて、食品衛生法の営業許可を受けた飲食店において、複数のアルバイト従業員や特定技能外国人等を指導・監督しながら接客を含む作業に従事し、店舗管理を補助する者（副店長、サブマネージャー等）としての、２年間の実務経験（ただし、当該経験を終えてから、別途農林水産大臣が定める期間を経過していないも
のに限る。）が必要です。 
「複数のアルバイト従業員や特定技能外国人等を指導・監督」とは、２名以上のアルバイト従業員や特定技能外国人等を指導・監督することを指し、指導・監督を受ける者の国籍、在留資格、職責等は問いません。また職場の状況やシフトの都合等により、常時２名以上いる体制でなくとも差し支えありません。  
この場合の「店舗管理を補助する者」とは、店長や事業所責任者が行う店舗管理（衛生管理全般、求人・雇用に関する事務、顧客情報の管理、会計事務管理、食材・消耗品・備品の補充・発注・数量管理等）の業務を補助するものとし、例えば、副店長、サブマネージャー、サブリーダー、サブチーフ、班長、担当部門長、事業所副責任者等のような役職が想定されますが、店長、事業所責任者などとして、店舗管理に従事することも含みます。 
〇 ２年間の実務経験については、当該経験を終えてから、基本的に５年を想定していますが、10年を超えないものに限ります。 
○ 外食業特定技能２号技能測定試験受験の際に、上記実務経験の有無を確認します。
○ 外食業分野の指導等実務経験の経過措置に係る必要実務経験期間については、以下の算出方法により計算してください。 
例）改正の日時点で外食業分野の１号特定技能外国人としての在留期間（再入国期間を含む）が「３年と２０日」となり、運用要領改正の翌日から特定技能１号の在留期間の上限の日までの残日数が、「１年11か月と10日（23か月と10日）」の場合、実務経験は、そこから６か月を減じた「1年5か月と10日（17か月と10日）以上」必要です。 </t>
    <phoneticPr fontId="1"/>
  </si>
  <si>
    <t>担当部署</t>
    <rPh sb="0" eb="2">
      <t>タントウ</t>
    </rPh>
    <rPh sb="2" eb="4">
      <t>ブショ</t>
    </rPh>
    <phoneticPr fontId="1"/>
  </si>
  <si>
    <t xml:space="preserve">農林水産省大臣官房新事業・食品産業部食品製造課 </t>
  </si>
  <si>
    <t xml:space="preserve">農林水産省大臣官房新事業・食品産業部外食・食文化課 </t>
  </si>
  <si>
    <t xml:space="preserve">〒100-8950 東京都千代田区霞が関１－２－１ </t>
  </si>
  <si>
    <t>TEL 03(6744)2397</t>
  </si>
  <si>
    <t xml:space="preserve">TEL 03(6744)2053 </t>
    <phoneticPr fontId="1"/>
  </si>
  <si>
    <t>シート名</t>
    <rPh sb="3" eb="4">
      <t>メイ</t>
    </rPh>
    <phoneticPr fontId="1"/>
  </si>
  <si>
    <t>アドレス</t>
    <phoneticPr fontId="1"/>
  </si>
  <si>
    <t>（入力）項目</t>
    <rPh sb="1" eb="3">
      <t>ニュウリョク</t>
    </rPh>
    <rPh sb="4" eb="6">
      <t>コウモク</t>
    </rPh>
    <phoneticPr fontId="1"/>
  </si>
  <si>
    <t>概要</t>
    <rPh sb="0" eb="2">
      <t>ガイヨウ</t>
    </rPh>
    <phoneticPr fontId="1"/>
  </si>
  <si>
    <t>詳細説明</t>
    <rPh sb="0" eb="2">
      <t>ショウサイ</t>
    </rPh>
    <rPh sb="2" eb="4">
      <t>セツメイ</t>
    </rPh>
    <phoneticPr fontId="1"/>
  </si>
  <si>
    <t>選択必須</t>
    <phoneticPr fontId="1"/>
  </si>
  <si>
    <t>選択したら「OK」になります。</t>
    <rPh sb="0" eb="2">
      <t>センタク</t>
    </rPh>
    <phoneticPr fontId="1"/>
  </si>
  <si>
    <t>名前</t>
    <rPh sb="0" eb="2">
      <t>ナマエ</t>
    </rPh>
    <phoneticPr fontId="1"/>
  </si>
  <si>
    <t>記入必須</t>
    <rPh sb="0" eb="2">
      <t>キニュウ</t>
    </rPh>
    <rPh sb="2" eb="4">
      <t>ヒッス</t>
    </rPh>
    <phoneticPr fontId="1"/>
  </si>
  <si>
    <t>入力したら「OK」になります。</t>
    <rPh sb="0" eb="2">
      <t>ニュウリョク</t>
    </rPh>
    <phoneticPr fontId="1"/>
  </si>
  <si>
    <t>生年月日</t>
    <rPh sb="0" eb="4">
      <t>セイネンガッピ</t>
    </rPh>
    <phoneticPr fontId="1"/>
  </si>
  <si>
    <t>国籍・地域</t>
    <rPh sb="0" eb="2">
      <t>コクセキ</t>
    </rPh>
    <rPh sb="3" eb="5">
      <t>チイキ</t>
    </rPh>
    <phoneticPr fontId="1"/>
  </si>
  <si>
    <t>業種</t>
    <rPh sb="0" eb="2">
      <t>ギョウシュ</t>
    </rPh>
    <phoneticPr fontId="1"/>
  </si>
  <si>
    <t>外食業/飲食料品製造業どちらかを選択すると「OK」になります。</t>
    <rPh sb="16" eb="18">
      <t>センタク</t>
    </rPh>
    <phoneticPr fontId="1"/>
  </si>
  <si>
    <t>☑</t>
    <phoneticPr fontId="1"/>
  </si>
  <si>
    <t>チェック必須</t>
    <rPh sb="4" eb="6">
      <t>ヒッス</t>
    </rPh>
    <phoneticPr fontId="1"/>
  </si>
  <si>
    <t>チェックボックスに✔印をつけると「OK」になります。</t>
    <phoneticPr fontId="1"/>
  </si>
  <si>
    <t>受験予定日</t>
    <rPh sb="0" eb="5">
      <t>ジュケンヨテイヒ</t>
    </rPh>
    <phoneticPr fontId="1"/>
  </si>
  <si>
    <t>管理/指導等実務経験
開始日</t>
    <phoneticPr fontId="1"/>
  </si>
  <si>
    <t>開始日≧「特定技能１号」として初めて上陸許可又は在留資格変更許可を受けた日</t>
    <rPh sb="0" eb="3">
      <t>カイシヒ</t>
    </rPh>
    <phoneticPr fontId="1"/>
  </si>
  <si>
    <t>管理/指導等実務経験
終了日</t>
    <phoneticPr fontId="1"/>
  </si>
  <si>
    <t>申請区分：「新規受験」の場合⇒終了日＜受験予定日</t>
    <rPh sb="0" eb="2">
      <t>シンセイ</t>
    </rPh>
    <rPh sb="2" eb="4">
      <t>クブン</t>
    </rPh>
    <rPh sb="6" eb="8">
      <t>シンキ</t>
    </rPh>
    <rPh sb="8" eb="10">
      <t>ジュケン</t>
    </rPh>
    <rPh sb="12" eb="14">
      <t>バアイ</t>
    </rPh>
    <rPh sb="15" eb="18">
      <t>シュウリョウヒ</t>
    </rPh>
    <rPh sb="19" eb="24">
      <t>ジュケンヨテイヒ</t>
    </rPh>
    <phoneticPr fontId="1"/>
  </si>
  <si>
    <t>①管理/指導している人数</t>
    <phoneticPr fontId="1"/>
  </si>
  <si>
    <t>2以上の数字が入力されているチェック</t>
    <phoneticPr fontId="1"/>
  </si>
  <si>
    <t>[業種]が外食業の場合
⇒①店舗管理から１つ以上の中項目の管理業務経験必須
　②店舗管理業務以外の中項目から１つ以上の管理業務経験必須→計中項目で２個以上の管理業務の経験が必要
[業種]が飲食料品製造業の場合
⇒中項目から2つ以上の管理業務経験が必要(同一の大項目から２つ以上の中項目でも可)</t>
    <rPh sb="1" eb="3">
      <t>ギョウシュ</t>
    </rPh>
    <rPh sb="90" eb="92">
      <t>ギョウシュ</t>
    </rPh>
    <phoneticPr fontId="1"/>
  </si>
  <si>
    <t>[業種]が外食業の場合
⇒中項目から１つ以上の指導業務経験が必須
[業種]が飲食料品製造業の場合
⇒中項目から２つ以上の指導業務経験が必要(同一の大項目から２つの中項目でも可)</t>
    <rPh sb="1" eb="3">
      <t>ギョウシュ</t>
    </rPh>
    <rPh sb="34" eb="36">
      <t>ギョウシュ</t>
    </rPh>
    <phoneticPr fontId="1"/>
  </si>
  <si>
    <t>④受験可否判定</t>
    <rPh sb="1" eb="3">
      <t>ジュケン</t>
    </rPh>
    <rPh sb="3" eb="5">
      <t>カヒ</t>
    </rPh>
    <rPh sb="5" eb="7">
      <t>ハンテイ</t>
    </rPh>
    <phoneticPr fontId="1"/>
  </si>
  <si>
    <t>[管理等実務経験期間]が2年以上の場合
⇒受験申請できます。シートBを作成して下さい。
⇒背景：緑
[管理等実務経験期間]が1年6ヵ月以上2年未満の場合
⇒試験日から６ヵ月以内に実務経験が完了する場合、受験申請できます。シートCを作成して下さい。
但し、在留資格が受験分野の特定技能１号の人は下記の経過措置が受けられる場合がありますので⑤を確認して下さい。
⇒背景：黄色
[管理等実務経験期間]が上記以外の場合
⇒受験申請できません。但し、在留資格が受験分野の特定技能１号の人は⑤の経過措置が受けられる場合がありますので⑤を確認して下さい。
⇒背景：ピンク</t>
    <rPh sb="1" eb="3">
      <t>カンリ</t>
    </rPh>
    <rPh sb="3" eb="4">
      <t>トウ</t>
    </rPh>
    <rPh sb="4" eb="6">
      <t>ジツム</t>
    </rPh>
    <rPh sb="6" eb="8">
      <t>ケイケン</t>
    </rPh>
    <rPh sb="8" eb="10">
      <t>キカン</t>
    </rPh>
    <rPh sb="184" eb="186">
      <t>キイロ</t>
    </rPh>
    <phoneticPr fontId="1"/>
  </si>
  <si>
    <t>⑤a経過措置による受験可否判定a</t>
    <phoneticPr fontId="1"/>
  </si>
  <si>
    <t>[2023/6/9時点の特定技能1号での在留期間]が２年６か月以上の場合
⇒条件aを満たします。条件bを満たしているか確認して下さい。
⇒背景：緑色
[2023/6/9時点の特定技能1号での在留期間]が２年６か月未満の場合
⇒条件aを満たしません。受験申請できません。
⇒背景：ピンク</t>
    <rPh sb="9" eb="11">
      <t>ジテン</t>
    </rPh>
    <rPh sb="12" eb="14">
      <t>トクテイ</t>
    </rPh>
    <rPh sb="14" eb="16">
      <t>ギノウ</t>
    </rPh>
    <rPh sb="17" eb="18">
      <t>ゴウ</t>
    </rPh>
    <rPh sb="20" eb="24">
      <t>ザイリュウキカン</t>
    </rPh>
    <rPh sb="31" eb="33">
      <t>イジョウ</t>
    </rPh>
    <rPh sb="107" eb="109">
      <t>ミマン</t>
    </rPh>
    <phoneticPr fontId="1"/>
  </si>
  <si>
    <t>⑤b経過措置による受験可否判定b</t>
    <phoneticPr fontId="1"/>
  </si>
  <si>
    <t>⑤aが該当した場合
[既に実務経験を積んだ期間]≧[経過措置適用後の必要な実務経験期間]の場合
⇒シートB証明書を作成して下さい。
⇒背景：緑
[既に実務経験を積んだ期間]＋６ヵ月≧[経過措置適用後の必要な実務経験期間]の場合
⇒シートC誓約書を作成して下さい。
⇒背景：黄色
[既に実務経験を積んだ期間]＋６ヵ月＜[経過措置適用後の必要な実務経験期間]の場合
⇒受験申請できません。
⇒背景：ピンク</t>
    <rPh sb="137" eb="139">
      <t>キイロ</t>
    </rPh>
    <rPh sb="186" eb="188">
      <t>シンセイ</t>
    </rPh>
    <phoneticPr fontId="1"/>
  </si>
  <si>
    <t>⑤受験可否判定</t>
    <rPh sb="1" eb="5">
      <t>ジュケンカヒ</t>
    </rPh>
    <rPh sb="5" eb="7">
      <t>ハンテイ</t>
    </rPh>
    <phoneticPr fontId="1"/>
  </si>
  <si>
    <t>[既に実務経験を積んだ期間]≧[経過措置適用後の必要な実務経験期間]の場合
⇒受験申請可(シートB証明書を作成)
⇒背景：緑
[既に実務経験を積んだ期間]＋６ヵ月≧[経過措置適用後の必要な実務経験期間]の場合
⇒受験申請可（シートＣ誓約書を作成）
⇒背景：黄色
上記以外の場合
⇒受験申請できません。
⇒背景：ピンク</t>
    <rPh sb="129" eb="131">
      <t>キイロ</t>
    </rPh>
    <rPh sb="144" eb="146">
      <t>シンセイ</t>
    </rPh>
    <phoneticPr fontId="1"/>
  </si>
  <si>
    <t>項目</t>
    <rPh sb="0" eb="2">
      <t>コウモク</t>
    </rPh>
    <phoneticPr fontId="1"/>
  </si>
  <si>
    <t>色番号</t>
    <rPh sb="0" eb="3">
      <t>イロバンゴウ</t>
    </rPh>
    <phoneticPr fontId="1"/>
  </si>
  <si>
    <t>色</t>
    <rPh sb="0" eb="1">
      <t>イロ</t>
    </rPh>
    <phoneticPr fontId="1"/>
  </si>
  <si>
    <t>外食業</t>
    <rPh sb="0" eb="3">
      <t>ガイショクギョウ</t>
    </rPh>
    <phoneticPr fontId="1"/>
  </si>
  <si>
    <t>経過措置対象</t>
    <phoneticPr fontId="1"/>
  </si>
  <si>
    <t>ピンク</t>
    <phoneticPr fontId="1"/>
  </si>
  <si>
    <t>受験日前日時点での実務経験が1年６か月以上２年未満のため誓約書を提出のうえ、受験し合格しましたが、
実務経験が2年以上となりましたのでシートBの証明書を作成し合格証書の発行を申請します。</t>
    <rPh sb="0" eb="2">
      <t>ジュケン</t>
    </rPh>
    <rPh sb="2" eb="3">
      <t>ビ</t>
    </rPh>
    <rPh sb="3" eb="5">
      <t>ゼンジツ</t>
    </rPh>
    <rPh sb="5" eb="7">
      <t>ジテン</t>
    </rPh>
    <rPh sb="9" eb="11">
      <t>ジツム</t>
    </rPh>
    <rPh sb="11" eb="13">
      <t>ケイケン</t>
    </rPh>
    <rPh sb="15" eb="16">
      <t>ネン</t>
    </rPh>
    <rPh sb="18" eb="19">
      <t>ゲツ</t>
    </rPh>
    <rPh sb="19" eb="21">
      <t>イジョウ</t>
    </rPh>
    <rPh sb="22" eb="23">
      <t>ネン</t>
    </rPh>
    <rPh sb="23" eb="25">
      <t>ミマン</t>
    </rPh>
    <rPh sb="28" eb="31">
      <t>セイヤクショ</t>
    </rPh>
    <rPh sb="32" eb="34">
      <t>テイシュツ</t>
    </rPh>
    <rPh sb="38" eb="40">
      <t>ジュケン</t>
    </rPh>
    <rPh sb="41" eb="43">
      <t>ゴウカク</t>
    </rPh>
    <rPh sb="50" eb="52">
      <t>ジツム</t>
    </rPh>
    <rPh sb="52" eb="54">
      <t>ケイケン</t>
    </rPh>
    <rPh sb="56" eb="57">
      <t>ネン</t>
    </rPh>
    <rPh sb="57" eb="59">
      <t>イジョウ</t>
    </rPh>
    <rPh sb="72" eb="75">
      <t>ショウメイショ</t>
    </rPh>
    <rPh sb="76" eb="78">
      <t>サクセイ</t>
    </rPh>
    <rPh sb="79" eb="81">
      <t>ゴウカク</t>
    </rPh>
    <rPh sb="81" eb="83">
      <t>ショウショ</t>
    </rPh>
    <rPh sb="82" eb="83">
      <t>ジッショウ</t>
    </rPh>
    <rPh sb="84" eb="86">
      <t>ハッコウ</t>
    </rPh>
    <rPh sb="87" eb="89">
      <t>シンセイ</t>
    </rPh>
    <phoneticPr fontId="1"/>
  </si>
  <si>
    <t>飲食料品製造業</t>
    <phoneticPr fontId="1"/>
  </si>
  <si>
    <t>経過措置の条件に該当せず</t>
    <phoneticPr fontId="1"/>
  </si>
  <si>
    <t>緑色</t>
    <rPh sb="0" eb="2">
      <t>ミドリイロ</t>
    </rPh>
    <phoneticPr fontId="1"/>
  </si>
  <si>
    <t>飲食料品製造業②管理業務</t>
    <rPh sb="0" eb="4">
      <t>インショクリョウヒン</t>
    </rPh>
    <rPh sb="4" eb="7">
      <t>セイゾウギョウ</t>
    </rPh>
    <rPh sb="8" eb="12">
      <t>カンリギョウム</t>
    </rPh>
    <phoneticPr fontId="1"/>
  </si>
  <si>
    <t>受験申請できます。シート【B】実務経験証明書を開いて必要事項を入力して下さい。</t>
    <phoneticPr fontId="1"/>
  </si>
  <si>
    <t>水色</t>
    <rPh sb="0" eb="2">
      <t>ミズイロ</t>
    </rPh>
    <phoneticPr fontId="1"/>
  </si>
  <si>
    <t>衛生管理</t>
  </si>
  <si>
    <t>飲食料品製造業②管理業務_衛生管理</t>
  </si>
  <si>
    <t>従業員の健康や衛生（作業前後の手洗いなど）に関する管理、対応</t>
    <phoneticPr fontId="1"/>
  </si>
  <si>
    <t>施設衛生（製造施設内の清掃、器具の洗浄・消毒など）の管理、対応</t>
    <phoneticPr fontId="1"/>
  </si>
  <si>
    <t>HACCPに沿った衛生管理、対応</t>
    <phoneticPr fontId="1"/>
  </si>
  <si>
    <t>その他(具体的に記載：　　　　　　) </t>
    <phoneticPr fontId="1"/>
  </si>
  <si>
    <t>含まれていません</t>
    <rPh sb="0" eb="1">
      <t>フク</t>
    </rPh>
    <phoneticPr fontId="1"/>
  </si>
  <si>
    <t>受験申請できます。シート【C】誓約書を開いて必要事項を入力してください。</t>
    <phoneticPr fontId="1"/>
  </si>
  <si>
    <t>青色</t>
    <rPh sb="0" eb="1">
      <t>アオ</t>
    </rPh>
    <rPh sb="1" eb="2">
      <t>イロ</t>
    </rPh>
    <phoneticPr fontId="1"/>
  </si>
  <si>
    <t>安全衛生管理</t>
  </si>
  <si>
    <t>飲食料品製造業②管理業務_安全衛生管理</t>
  </si>
  <si>
    <t>従業員の労働安全衛生（作業時の事故防止、転倒や熱中症の予防、腰痛防止など）に関する管理、対応</t>
  </si>
  <si>
    <t>安全法令や作業手順書に基づいた作業者への教育・監督</t>
  </si>
  <si>
    <t>受験資格はありません。</t>
    <phoneticPr fontId="1"/>
  </si>
  <si>
    <t>黄色</t>
    <rPh sb="0" eb="2">
      <t>キイロ</t>
    </rPh>
    <phoneticPr fontId="1"/>
  </si>
  <si>
    <t>品質管理</t>
  </si>
  <si>
    <t>飲食料品製造業②管理業務_品質管理</t>
  </si>
  <si>
    <t>作業手順に基づく製造・加工の実施とその運用管理、対応</t>
  </si>
  <si>
    <t>原材料の鮮度、色、臭い、異物有無などの受入検査の管理、対応</t>
  </si>
  <si>
    <t>加熱・冷却温度の適正確認、製品重量確認などの製造工程の管理、対応</t>
  </si>
  <si>
    <t>製品の成分検査(塩分濃度、糖度など）、見た目、色味、味などの官能検査の管理、対応</t>
  </si>
  <si>
    <t>X線装置や金属探知機による異物混入検査の管理、対応</t>
  </si>
  <si>
    <t>包装、表示ラベルの適正性に関する出荷前最終確認の管理、対応</t>
  </si>
  <si>
    <t>製造・試作した製品に対する細菌検査や理化学検査の管理、対応</t>
  </si>
  <si>
    <t>⑤受験可否判定</t>
    <phoneticPr fontId="1"/>
  </si>
  <si>
    <t>紫色</t>
    <rPh sb="0" eb="2">
      <t>ムラサキイロ</t>
    </rPh>
    <phoneticPr fontId="1"/>
  </si>
  <si>
    <t>納期管理</t>
  </si>
  <si>
    <t>飲食料品製造業②管理業務_納期管理</t>
  </si>
  <si>
    <t>需要予測や注文状況に基づく生産計画及び納期の調整と管理、対応</t>
  </si>
  <si>
    <t>原材料の供給性に関するサプライヤーとの調整や在庫管理、対応</t>
  </si>
  <si>
    <t>製品を顧客へ滞りなく納品するための出荷手配や配送スケジュールの管理、対応</t>
  </si>
  <si>
    <t>受験申請できます。シート【C】誓約書を開いて必要事項を入力して下さい。</t>
    <phoneticPr fontId="1"/>
  </si>
  <si>
    <t>コスト管理</t>
  </si>
  <si>
    <t>飲食料品製造業②管理業務_コスト管理</t>
  </si>
  <si>
    <t>製品の歩留まりや製品原価の直接費の管理、対応</t>
  </si>
  <si>
    <t>設備の減価償却、事業所の光熱費、保守・修理費用などの間接費の管理、対応</t>
  </si>
  <si>
    <t>従業員の技術レベルや生産性、雇用条件などに基づく労務費の管理、対応</t>
  </si>
  <si>
    <t>従業員管理</t>
  </si>
  <si>
    <t>飲食料品製造業②管理業務_従業員管理</t>
  </si>
  <si>
    <t>従業員のシフト管理、出退勤管理</t>
  </si>
  <si>
    <t>人事評定、勤務査定</t>
  </si>
  <si>
    <t>④受験可否判定</t>
    <phoneticPr fontId="1"/>
  </si>
  <si>
    <t>原材料管理</t>
  </si>
  <si>
    <t>飲食料品製造業②管理業務_原材料管理</t>
  </si>
  <si>
    <t>品質・安全基準に基づく原材料の受入検査の管理、対応</t>
  </si>
  <si>
    <t>品質保持と廃棄の最小化のため原材料の消費期限やロットの管理、対応</t>
  </si>
  <si>
    <t>品質劣化を防止するため適切な環境下（温度、湿度など）での原材料の保管、管理、対応</t>
  </si>
  <si>
    <t>問題発生時に追跡を可能にするため原材料の入出庫や使用履歴を記録、管理、対応</t>
  </si>
  <si>
    <t>その他</t>
  </si>
  <si>
    <t>飲食料品製造業②管理業務_その他</t>
  </si>
  <si>
    <t>飲食料品製造業③指導業務</t>
    <phoneticPr fontId="1"/>
  </si>
  <si>
    <t>受験申請できます。シートBを作成して下さい。</t>
    <phoneticPr fontId="1"/>
  </si>
  <si>
    <t>作業指導</t>
    <rPh sb="0" eb="2">
      <t>サギョウ</t>
    </rPh>
    <rPh sb="2" eb="4">
      <t>シドウ</t>
    </rPh>
    <phoneticPr fontId="1"/>
  </si>
  <si>
    <t>飲食料品製造業③指導業務_作業指導</t>
  </si>
  <si>
    <t>原材料の適切な計量、洗浄、下処理や保管に関する指導</t>
  </si>
  <si>
    <t>各種機器、器具、設備等の使い方やメンテナンスに関する指導</t>
  </si>
  <si>
    <t>加熱や成形などの製造作業に伴う指導</t>
  </si>
  <si>
    <t>衛生管理や異物混入防止、正確なラベル付けに関する指導</t>
  </si>
  <si>
    <t>製品の外観や重量、品質基準に基づいた検査に関する指導</t>
  </si>
  <si>
    <t>衛生指導</t>
    <rPh sb="0" eb="2">
      <t>エイセイ</t>
    </rPh>
    <rPh sb="2" eb="4">
      <t>シドウ</t>
    </rPh>
    <phoneticPr fontId="1"/>
  </si>
  <si>
    <t>飲食料品製造業③指導業務_衛生指導</t>
  </si>
  <si>
    <t>清掃スケジュールの設定と適切な清掃・消毒に関する指導</t>
  </si>
  <si>
    <t>手洗い、身だしなみ、健康状態の管理に関する指導</t>
  </si>
  <si>
    <t>交差汚染防止のための器具使用や食品保存に関する指導</t>
  </si>
  <si>
    <t>受験申請できません。但し、在留資格が受験分野の特定技能１号の人は⑤の経過措置が受けられる場合がありますので⑤を確認して下さい。</t>
    <phoneticPr fontId="1"/>
  </si>
  <si>
    <t>安全指導</t>
    <rPh sb="0" eb="2">
      <t>アンゼン</t>
    </rPh>
    <rPh sb="2" eb="4">
      <t>シドウ</t>
    </rPh>
    <phoneticPr fontId="1"/>
  </si>
  <si>
    <t>飲食料品製造業③指導業務_安全指導</t>
  </si>
  <si>
    <t>労働に伴う事故を防ぐための各種指導</t>
  </si>
  <si>
    <t>清掃剤や化学薬品の使用や保管に関する指導</t>
  </si>
  <si>
    <t>条件aに該当します。条件bを満たしているか確認して下さい。</t>
    <rPh sb="4" eb="6">
      <t>ガイトウ</t>
    </rPh>
    <phoneticPr fontId="1"/>
  </si>
  <si>
    <t>その他</t>
    <rPh sb="2" eb="3">
      <t>タ</t>
    </rPh>
    <phoneticPr fontId="1"/>
  </si>
  <si>
    <t>飲食料品製造業③指導業務_その他</t>
  </si>
  <si>
    <t>条件aに該当しません。</t>
    <rPh sb="4" eb="6">
      <t>ガイトウ</t>
    </rPh>
    <phoneticPr fontId="1"/>
  </si>
  <si>
    <t>シートB証明書を作成して下さい。</t>
    <phoneticPr fontId="1"/>
  </si>
  <si>
    <t>外食業②管理業務</t>
    <rPh sb="0" eb="3">
      <t>ガイショクギョウ</t>
    </rPh>
    <phoneticPr fontId="1"/>
  </si>
  <si>
    <t>シートC誓約書を作成して下さい。</t>
    <phoneticPr fontId="1"/>
  </si>
  <si>
    <t>店舗管理</t>
    <rPh sb="0" eb="4">
      <t>テンポカンリ</t>
    </rPh>
    <phoneticPr fontId="1"/>
  </si>
  <si>
    <t>外食業②管理業務_店舗管理</t>
  </si>
  <si>
    <t>予約客情報・顧客情報の管理</t>
  </si>
  <si>
    <t>社内本部・取引事業者・行政等との連絡調整</t>
  </si>
  <si>
    <t>各種機器・設備のメンテナンス管理</t>
  </si>
  <si>
    <t>メニューの企画・開発、メニューブック・POP広告等の作成に関する管理</t>
  </si>
  <si>
    <t>店内オペレーションの改善、作業マニュアルの作成・改訂の管理</t>
  </si>
  <si>
    <t>受験申請できません。</t>
    <rPh sb="0" eb="2">
      <t>ジュケン</t>
    </rPh>
    <rPh sb="2" eb="4">
      <t>シンセイ</t>
    </rPh>
    <phoneticPr fontId="1"/>
  </si>
  <si>
    <t>衛生管理</t>
    <rPh sb="0" eb="4">
      <t>エイセイカンリ</t>
    </rPh>
    <phoneticPr fontId="1"/>
  </si>
  <si>
    <t>外食業②管理業務_衛生管理</t>
  </si>
  <si>
    <t>従業員の健康や衛生管理（作業前後の手洗いなど）に関する管理</t>
  </si>
  <si>
    <t>施設衛生（調理施設内の清掃、器具の洗浄・殺菌・消毒など）の管理</t>
  </si>
  <si>
    <t>HACCPの考え方を取り入れた衛生管理（温度管理や記録）の管理</t>
  </si>
  <si>
    <t>飲食物調理管理</t>
    <rPh sb="0" eb="3">
      <t>インショクブツ</t>
    </rPh>
    <rPh sb="3" eb="5">
      <t>チョウリ</t>
    </rPh>
    <rPh sb="5" eb="7">
      <t>カンリ</t>
    </rPh>
    <phoneticPr fontId="1"/>
  </si>
  <si>
    <t>外食業②管理業務_飲食物調理管理</t>
  </si>
  <si>
    <t>安定した品質で調理品を提供するために必要な調理（食材の仕込み、調理、盛り付けなど）に関する管理、対応</t>
  </si>
  <si>
    <t>従業員の労働安全衛生（安全な作業、機器の取り扱いなど）に関する管理、対応</t>
  </si>
  <si>
    <t>受験申請可（シートＣ誓約書を作成）</t>
    <phoneticPr fontId="1"/>
  </si>
  <si>
    <t>接客管理</t>
    <rPh sb="0" eb="2">
      <t>セッキャク</t>
    </rPh>
    <rPh sb="2" eb="4">
      <t>カンリ</t>
    </rPh>
    <phoneticPr fontId="1"/>
  </si>
  <si>
    <t>外食業②管理業務_接客管理</t>
  </si>
  <si>
    <t>テーブルセッティング、配膳・下膳などの管理、対応</t>
  </si>
  <si>
    <t>従業員が喫食者へ適切な接客ができているか管理、対応</t>
  </si>
  <si>
    <t>クレーム対応</t>
  </si>
  <si>
    <t>受験申請可（シートＢ証明書を作成）</t>
    <phoneticPr fontId="1"/>
  </si>
  <si>
    <t>外食業③指導業務</t>
    <rPh sb="0" eb="3">
      <t>ガイショクギョウ</t>
    </rPh>
    <phoneticPr fontId="1"/>
  </si>
  <si>
    <t>外食業③指導業務_衛生指導</t>
  </si>
  <si>
    <t>従業員の健康や衛生管理（作業前後の手洗いなど）に関する指導</t>
  </si>
  <si>
    <t>施設衛生（調理施設内の清掃、器具の洗浄・殺菌・消毒など）に関する指導</t>
  </si>
  <si>
    <t>HACCPの考え方を取り入れた衛生管理（温度管理や記録）に関する指導</t>
  </si>
  <si>
    <t>飲食物調理指導</t>
    <rPh sb="0" eb="3">
      <t>インショクブツ</t>
    </rPh>
    <rPh sb="3" eb="5">
      <t>チョウリ</t>
    </rPh>
    <rPh sb="5" eb="7">
      <t>シドウ</t>
    </rPh>
    <phoneticPr fontId="1"/>
  </si>
  <si>
    <t>外食業③指導業務_飲食物調理指導</t>
  </si>
  <si>
    <t>安定した品質で調理品を提供するために必要な調理（食材の仕込み、調理、盛り付けなど）に関する指導</t>
  </si>
  <si>
    <t>従業員の労働安全衛生（安全な作業、機器の取り扱いなど）に関する指導</t>
  </si>
  <si>
    <t>接客指導</t>
    <rPh sb="0" eb="2">
      <t>セッキャク</t>
    </rPh>
    <rPh sb="2" eb="4">
      <t>シドウ</t>
    </rPh>
    <phoneticPr fontId="1"/>
  </si>
  <si>
    <t>外食業③指導業務_接客指導</t>
  </si>
  <si>
    <t>テーブルセッティング、配膳・下膳などの指導</t>
  </si>
  <si>
    <t>適切な接客についての指導</t>
  </si>
  <si>
    <t>店舗運営指導</t>
    <rPh sb="0" eb="2">
      <t>テンポ</t>
    </rPh>
    <rPh sb="2" eb="4">
      <t>ウンエイ</t>
    </rPh>
    <rPh sb="4" eb="6">
      <t>シドウ</t>
    </rPh>
    <phoneticPr fontId="1"/>
  </si>
  <si>
    <t>外食業③指導業務_店舗運営指導</t>
  </si>
  <si>
    <t>従業員の出退勤に関する指導</t>
  </si>
  <si>
    <t>予約客、顧客情報に関する指導</t>
  </si>
  <si>
    <t>各種機器・設備のメンテナンスの指導</t>
  </si>
  <si>
    <t>メニューブック、POP、広告制作に関する指導</t>
  </si>
  <si>
    <t>外食業③指導業務_その他</t>
  </si>
  <si>
    <t>▼ 管理等実務経験期間合計</t>
    <phoneticPr fontId="1"/>
  </si>
  <si>
    <t>企業</t>
    <rPh sb="0" eb="2">
      <t>キギョウ</t>
    </rPh>
    <phoneticPr fontId="1"/>
  </si>
  <si>
    <t>開始日</t>
    <rPh sb="0" eb="3">
      <t>カイシヒ</t>
    </rPh>
    <phoneticPr fontId="1"/>
  </si>
  <si>
    <t>終了日</t>
    <rPh sb="0" eb="3">
      <t>シュウリョウヒ</t>
    </rPh>
    <phoneticPr fontId="1"/>
  </si>
  <si>
    <t>日数</t>
    <rPh sb="0" eb="2">
      <t>ニッスウ</t>
    </rPh>
    <phoneticPr fontId="1"/>
  </si>
  <si>
    <t>⇒</t>
    <phoneticPr fontId="1"/>
  </si>
  <si>
    <t>期間（Y)</t>
    <rPh sb="0" eb="2">
      <t>キカン</t>
    </rPh>
    <phoneticPr fontId="1"/>
  </si>
  <si>
    <t>期間（YM)</t>
    <rPh sb="0" eb="2">
      <t>キカン</t>
    </rPh>
    <phoneticPr fontId="1"/>
  </si>
  <si>
    <t>期間（MD)</t>
    <rPh sb="0" eb="2">
      <t>キカン</t>
    </rPh>
    <phoneticPr fontId="1"/>
  </si>
  <si>
    <t>Ａ</t>
    <phoneticPr fontId="1"/>
  </si>
  <si>
    <t>年</t>
    <rPh sb="0" eb="1">
      <t>ネン</t>
    </rPh>
    <phoneticPr fontId="1"/>
  </si>
  <si>
    <t>ヶ月</t>
    <phoneticPr fontId="1"/>
  </si>
  <si>
    <t>日</t>
    <rPh sb="0" eb="1">
      <t>ヒ</t>
    </rPh>
    <phoneticPr fontId="1"/>
  </si>
  <si>
    <t>Ｂ</t>
    <phoneticPr fontId="1"/>
  </si>
  <si>
    <t>Ｃ</t>
    <phoneticPr fontId="1"/>
  </si>
  <si>
    <t>繰り上げ計算</t>
    <rPh sb="0" eb="1">
      <t>ク</t>
    </rPh>
    <rPh sb="2" eb="3">
      <t>ア</t>
    </rPh>
    <rPh sb="4" eb="6">
      <t>ケイサン</t>
    </rPh>
    <phoneticPr fontId="1"/>
  </si>
  <si>
    <t>ヶ月</t>
    <rPh sb="1" eb="2">
      <t>ゲツ</t>
    </rPh>
    <phoneticPr fontId="1"/>
  </si>
  <si>
    <t>ヶ月</t>
  </si>
  <si>
    <t>計算用日数</t>
    <rPh sb="0" eb="3">
      <t>ケイサンヨウ</t>
    </rPh>
    <rPh sb="3" eb="5">
      <t>ニッスウ</t>
    </rPh>
    <phoneticPr fontId="1"/>
  </si>
  <si>
    <t>日</t>
    <rPh sb="0" eb="1">
      <t>ニチ</t>
    </rPh>
    <phoneticPr fontId="1"/>
  </si>
  <si>
    <t>↓</t>
    <phoneticPr fontId="1"/>
  </si>
  <si>
    <t>（６ヶ月後）＝１８０日足す</t>
    <rPh sb="3" eb="4">
      <t>ゲツ</t>
    </rPh>
    <rPh sb="4" eb="5">
      <t>ゴ</t>
    </rPh>
    <rPh sb="10" eb="11">
      <t>ニチ</t>
    </rPh>
    <rPh sb="11" eb="12">
      <t>タ</t>
    </rPh>
    <phoneticPr fontId="1"/>
  </si>
  <si>
    <t>▼ 2023/6/9時点の特定技能１号での在留期間</t>
    <phoneticPr fontId="1"/>
  </si>
  <si>
    <t>▼ 経過措置適用後の必要な実務経験期間</t>
    <phoneticPr fontId="1"/>
  </si>
  <si>
    <t>→</t>
    <phoneticPr fontId="1"/>
  </si>
  <si>
    <t>（２年未満の場合）</t>
    <rPh sb="2" eb="5">
      <t>ネンミマン</t>
    </rPh>
    <rPh sb="6" eb="8">
      <t>バアイ</t>
    </rPh>
    <phoneticPr fontId="1"/>
  </si>
  <si>
    <t>2年0ヶ月0日</t>
    <phoneticPr fontId="1"/>
  </si>
  <si>
    <t>（２年以上の場合）</t>
    <rPh sb="2" eb="3">
      <t>ネン</t>
    </rPh>
    <rPh sb="3" eb="5">
      <t>イジョウ</t>
    </rPh>
    <rPh sb="6" eb="8">
      <t>バアイ</t>
    </rPh>
    <phoneticPr fontId="1"/>
  </si>
  <si>
    <t>▼ 実務経験を積むことが見込まれる期間合計</t>
    <phoneticPr fontId="1"/>
  </si>
  <si>
    <t>▼ 管理等実務経験期間合計↑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</si>
</sst>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yyyy/m/d;@"/>
    <numFmt numFmtId="179" formatCode="yyyy/m"/>
    <numFmt numFmtId="180" formatCode="#"/>
    <numFmt numFmtId="181" formatCode="yyyy/mm/dd"/>
    <numFmt numFmtId="182" formatCode="#,##0;&quot;▲ &quot;#,##0;#,##0"/>
  </numFmts>
  <fonts count="56">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2"/>
      <color rgb="FFFF0000"/>
      <name val="Meiryo UI"/>
      <family val="3"/>
      <charset val="128"/>
    </font>
    <font>
      <b/>
      <sz val="12"/>
      <color theme="1"/>
      <name val="Meiryo UI"/>
      <family val="3"/>
      <charset val="128"/>
    </font>
    <font>
      <sz val="12"/>
      <name val="Meiryo UI"/>
      <family val="3"/>
      <charset val="128"/>
    </font>
    <font>
      <sz val="14"/>
      <color theme="1"/>
      <name val="Meiryo UI"/>
      <family val="3"/>
      <charset val="128"/>
    </font>
    <font>
      <sz val="11"/>
      <color rgb="FF006100"/>
      <name val="游ゴシック"/>
      <family val="2"/>
      <charset val="128"/>
      <scheme val="minor"/>
    </font>
    <font>
      <sz val="10"/>
      <color theme="1"/>
      <name val="Meiryo UI"/>
      <family val="3"/>
      <charset val="128"/>
    </font>
    <font>
      <sz val="9"/>
      <color theme="1"/>
      <name val="Meiryo UI"/>
      <family val="3"/>
      <charset val="128"/>
    </font>
    <font>
      <b/>
      <sz val="11"/>
      <color rgb="FFFF0000"/>
      <name val="Meiryo UI"/>
      <family val="3"/>
      <charset val="128"/>
    </font>
    <font>
      <sz val="11"/>
      <name val="Meiryo UI"/>
      <family val="3"/>
      <charset val="128"/>
    </font>
    <font>
      <b/>
      <u/>
      <sz val="12"/>
      <color theme="1"/>
      <name val="Meiryo UI"/>
      <family val="3"/>
      <charset val="128"/>
    </font>
    <font>
      <u/>
      <sz val="11"/>
      <color theme="10"/>
      <name val="游ゴシック"/>
      <family val="2"/>
      <charset val="128"/>
      <scheme val="minor"/>
    </font>
    <font>
      <b/>
      <sz val="11"/>
      <color theme="1"/>
      <name val="Meiryo UI"/>
      <family val="3"/>
      <charset val="128"/>
    </font>
    <font>
      <b/>
      <sz val="12"/>
      <color rgb="FFFF0000"/>
      <name val="Meiryo UI"/>
      <family val="3"/>
      <charset val="128"/>
    </font>
    <font>
      <b/>
      <sz val="12"/>
      <name val="Meiryo UI"/>
      <family val="3"/>
      <charset val="128"/>
    </font>
    <font>
      <sz val="12"/>
      <color rgb="FF006100"/>
      <name val="游ゴシック"/>
      <family val="3"/>
      <charset val="128"/>
      <scheme val="minor"/>
    </font>
    <font>
      <sz val="12"/>
      <color rgb="FF006100"/>
      <name val="游ゴシック"/>
      <family val="2"/>
      <charset val="128"/>
      <scheme val="minor"/>
    </font>
    <font>
      <b/>
      <u val="double"/>
      <sz val="12"/>
      <color theme="1"/>
      <name val="Meiryo UI"/>
      <family val="3"/>
      <charset val="128"/>
    </font>
    <font>
      <b/>
      <sz val="12"/>
      <color rgb="FF00B0F0"/>
      <name val="Meiryo UI"/>
      <family val="3"/>
      <charset val="128"/>
    </font>
    <font>
      <b/>
      <sz val="12"/>
      <color rgb="FFFFFF00"/>
      <name val="Meiryo UI"/>
      <family val="3"/>
      <charset val="128"/>
    </font>
    <font>
      <b/>
      <sz val="12"/>
      <color theme="0"/>
      <name val="Meiryo UI"/>
      <family val="3"/>
      <charset val="128"/>
    </font>
    <font>
      <sz val="10"/>
      <color theme="0"/>
      <name val="Meiryo UI"/>
      <family val="3"/>
      <charset val="128"/>
    </font>
    <font>
      <b/>
      <sz val="14"/>
      <name val="Meiryo UI"/>
      <family val="3"/>
      <charset val="128"/>
    </font>
    <font>
      <b/>
      <sz val="10"/>
      <name val="Meiryo UI"/>
      <family val="3"/>
      <charset val="128"/>
    </font>
    <font>
      <b/>
      <sz val="11"/>
      <name val="Meiryo UI"/>
      <family val="3"/>
      <charset val="128"/>
    </font>
    <font>
      <sz val="16"/>
      <color theme="1"/>
      <name val="Meiryo UI"/>
      <family val="3"/>
      <charset val="128"/>
    </font>
    <font>
      <sz val="11"/>
      <color theme="0"/>
      <name val="Meiryo UI"/>
      <family val="3"/>
      <charset val="128"/>
    </font>
    <font>
      <u val="double"/>
      <sz val="12"/>
      <color theme="1"/>
      <name val="Meiryo UI"/>
      <family val="3"/>
      <charset val="128"/>
    </font>
    <font>
      <b/>
      <sz val="11"/>
      <color theme="1"/>
      <name val="游ゴシック"/>
      <family val="3"/>
      <charset val="128"/>
      <scheme val="minor"/>
    </font>
    <font>
      <b/>
      <sz val="12"/>
      <color theme="1"/>
      <name val="游ゴシック"/>
      <family val="3"/>
      <charset val="128"/>
      <scheme val="minor"/>
    </font>
    <font>
      <b/>
      <sz val="11"/>
      <color rgb="FF00B0F0"/>
      <name val="Meiryo UI"/>
      <family val="3"/>
      <charset val="128"/>
    </font>
    <font>
      <sz val="11"/>
      <color rgb="FF00B0F0"/>
      <name val="Meiryo UI"/>
      <family val="3"/>
      <charset val="128"/>
    </font>
    <font>
      <b/>
      <sz val="10"/>
      <color theme="1"/>
      <name val="Meiryo UI"/>
      <family val="3"/>
      <charset val="128"/>
    </font>
    <font>
      <sz val="11"/>
      <color rgb="FFFF0000"/>
      <name val="Meiryo UI"/>
      <family val="3"/>
      <charset val="128"/>
    </font>
    <font>
      <sz val="12"/>
      <color theme="1"/>
      <name val="游ゴシック"/>
      <family val="2"/>
      <charset val="128"/>
      <scheme val="minor"/>
    </font>
    <font>
      <sz val="12"/>
      <color rgb="FF000000"/>
      <name val="Meiryo UI"/>
      <family val="3"/>
      <charset val="128"/>
    </font>
    <font>
      <sz val="10"/>
      <color rgb="FFFF0000"/>
      <name val="Meiryo UI"/>
      <family val="3"/>
      <charset val="128"/>
    </font>
    <font>
      <sz val="10"/>
      <name val="Meiryo UI"/>
      <family val="3"/>
      <charset val="128"/>
    </font>
    <font>
      <sz val="18"/>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2"/>
      <color theme="1"/>
      <name val="ＭＳ ゴシック"/>
      <family val="3"/>
      <charset val="128"/>
    </font>
    <font>
      <sz val="15"/>
      <color theme="1"/>
      <name val="游ゴシック"/>
      <family val="3"/>
      <charset val="128"/>
      <scheme val="minor"/>
    </font>
    <font>
      <sz val="10"/>
      <color theme="1"/>
      <name val="ＭＳ ゴシック"/>
      <family val="3"/>
      <charset val="128"/>
    </font>
    <font>
      <u/>
      <sz val="10"/>
      <color theme="10"/>
      <name val="ＭＳ ゴシック"/>
      <family val="3"/>
      <charset val="128"/>
    </font>
    <font>
      <sz val="18"/>
      <color theme="1"/>
      <name val="游ゴシック"/>
      <family val="2"/>
      <charset val="128"/>
      <scheme val="minor"/>
    </font>
    <font>
      <sz val="18"/>
      <color theme="1"/>
      <name val="ＭＳ ゴシック"/>
      <family val="3"/>
      <charset val="128"/>
    </font>
    <font>
      <sz val="11"/>
      <name val="游ゴシック"/>
      <family val="2"/>
      <charset val="128"/>
      <scheme val="minor"/>
    </font>
    <font>
      <sz val="12"/>
      <color rgb="FFFC6C85"/>
      <name val="Meiryo UI"/>
      <family val="3"/>
      <charset val="128"/>
    </font>
    <font>
      <u/>
      <sz val="10"/>
      <name val="Meiryo UI"/>
      <family val="3"/>
      <charset val="128"/>
    </font>
    <font>
      <b/>
      <sz val="14"/>
      <color rgb="FFFF0000"/>
      <name val="Meiryo UI"/>
      <family val="3"/>
      <charset val="128"/>
    </font>
    <font>
      <b/>
      <sz val="18"/>
      <color rgb="FFFF0000"/>
      <name val="游ゴシック"/>
      <family val="3"/>
      <charset val="128"/>
      <scheme val="minor"/>
    </font>
    <font>
      <b/>
      <sz val="10"/>
      <color rgb="FFFF0000"/>
      <name val="游ゴシック"/>
      <family val="3"/>
      <charset val="128"/>
      <scheme val="minor"/>
    </font>
  </fonts>
  <fills count="1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0000"/>
        <bgColor indexed="64"/>
      </patternFill>
    </fill>
    <fill>
      <patternFill patternType="solid">
        <fgColor rgb="FFCCFFFF"/>
        <bgColor rgb="FF000000"/>
      </patternFill>
    </fill>
    <fill>
      <patternFill patternType="solid">
        <fgColor theme="0" tint="-0.14999847407452621"/>
        <bgColor indexed="64"/>
      </patternFill>
    </fill>
    <fill>
      <patternFill patternType="solid">
        <fgColor rgb="FFFF99FF"/>
        <bgColor indexed="64"/>
      </patternFill>
    </fill>
    <fill>
      <patternFill patternType="solid">
        <fgColor theme="4" tint="0.59999389629810485"/>
        <bgColor indexed="64"/>
      </patternFill>
    </fill>
  </fills>
  <borders count="6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top/>
      <bottom style="thin">
        <color theme="1" tint="0.499984740745262"/>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thick">
        <color rgb="FFFF0000"/>
      </bottom>
      <diagonal/>
    </border>
    <border>
      <left style="medium">
        <color theme="0" tint="-0.24994659260841701"/>
      </left>
      <right style="medium">
        <color theme="0" tint="-0.24994659260841701"/>
      </right>
      <top style="medium">
        <color rgb="FFFF0000"/>
      </top>
      <bottom style="medium">
        <color rgb="FFFF0000"/>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5"/>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theme="1"/>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auto="1"/>
      </left>
      <right/>
      <top/>
      <bottom/>
      <diagonal/>
    </border>
    <border>
      <left style="thin">
        <color indexed="64"/>
      </left>
      <right style="hair">
        <color indexed="64"/>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indexed="64"/>
      </left>
      <right style="thin">
        <color indexed="64"/>
      </right>
      <top style="thin">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medium">
        <color auto="1"/>
      </left>
      <right style="medium">
        <color auto="1"/>
      </right>
      <top style="medium">
        <color auto="1"/>
      </top>
      <bottom/>
      <diagonal/>
    </border>
    <border>
      <left style="thin">
        <color indexed="64"/>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thin">
        <color auto="1"/>
      </left>
      <right style="thin">
        <color auto="1"/>
      </right>
      <top style="double">
        <color auto="1"/>
      </top>
      <bottom style="thin">
        <color auto="1"/>
      </bottom>
      <diagonal/>
    </border>
    <border>
      <left style="hair">
        <color indexed="64"/>
      </left>
      <right style="thin">
        <color indexed="64"/>
      </right>
      <top style="hair">
        <color auto="1"/>
      </top>
      <bottom/>
      <diagonal/>
    </border>
    <border>
      <left style="thin">
        <color auto="1"/>
      </left>
      <right style="thin">
        <color auto="1"/>
      </right>
      <top/>
      <bottom style="thin">
        <color auto="1"/>
      </bottom>
      <diagonal/>
    </border>
    <border>
      <left style="hair">
        <color indexed="64"/>
      </left>
      <right style="thin">
        <color indexed="64"/>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indexed="64"/>
      </left>
      <right style="medium">
        <color indexed="64"/>
      </right>
      <top/>
      <bottom style="medium">
        <color indexed="64"/>
      </bottom>
      <diagonal/>
    </border>
    <border>
      <left style="thin">
        <color theme="1"/>
      </left>
      <right style="thin">
        <color theme="1"/>
      </right>
      <top/>
      <bottom style="thin">
        <color theme="1"/>
      </bottom>
      <diagonal/>
    </border>
  </borders>
  <cellStyleXfs count="3">
    <xf numFmtId="0" fontId="0" fillId="0" borderId="0">
      <alignment vertical="center"/>
    </xf>
    <xf numFmtId="0" fontId="8" fillId="5" borderId="0" applyNumberFormat="0" applyBorder="0" applyAlignment="0" applyProtection="0">
      <alignment vertical="center"/>
    </xf>
    <xf numFmtId="0" fontId="14" fillId="0" borderId="0" applyNumberFormat="0" applyFill="0" applyBorder="0" applyAlignment="0" applyProtection="0">
      <alignment vertical="center"/>
    </xf>
  </cellStyleXfs>
  <cellXfs count="3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14" fontId="3" fillId="2" borderId="1" xfId="0" applyNumberFormat="1" applyFont="1" applyFill="1" applyBorder="1" applyProtection="1">
      <alignment vertical="center"/>
      <protection locked="0"/>
    </xf>
    <xf numFmtId="0" fontId="3"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horizontal="left" vertical="center"/>
    </xf>
    <xf numFmtId="0" fontId="3" fillId="0" borderId="0" xfId="0" applyFont="1" applyProtection="1">
      <alignment vertical="center"/>
      <protection locked="0"/>
    </xf>
    <xf numFmtId="14" fontId="3" fillId="0" borderId="0" xfId="0" applyNumberFormat="1" applyFont="1">
      <alignment vertical="center"/>
    </xf>
    <xf numFmtId="0" fontId="3" fillId="0" borderId="0" xfId="0" applyFont="1" applyAlignment="1">
      <alignment horizontal="right" vertical="center"/>
    </xf>
    <xf numFmtId="14" fontId="3" fillId="0" borderId="0" xfId="0" applyNumberFormat="1" applyFont="1" applyProtection="1">
      <alignment vertical="center"/>
      <protection locked="0"/>
    </xf>
    <xf numFmtId="176" fontId="3"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left" vertical="center"/>
    </xf>
    <xf numFmtId="178" fontId="3" fillId="0" borderId="0" xfId="0" applyNumberFormat="1" applyFont="1">
      <alignment vertical="center"/>
    </xf>
    <xf numFmtId="0" fontId="3" fillId="6" borderId="0" xfId="0" applyFont="1" applyFill="1">
      <alignment vertical="center"/>
    </xf>
    <xf numFmtId="0" fontId="3" fillId="3" borderId="0" xfId="0" applyFont="1" applyFill="1">
      <alignment vertical="center"/>
    </xf>
    <xf numFmtId="0" fontId="6" fillId="3" borderId="0" xfId="0" applyFont="1" applyFill="1">
      <alignment vertical="center"/>
    </xf>
    <xf numFmtId="0" fontId="9" fillId="0" borderId="0" xfId="0" applyFont="1">
      <alignment vertical="center"/>
    </xf>
    <xf numFmtId="14" fontId="3" fillId="2" borderId="1" xfId="0" applyNumberFormat="1" applyFont="1" applyFill="1" applyBorder="1" applyAlignment="1" applyProtection="1">
      <alignment horizontal="right" vertical="center"/>
      <protection locked="0"/>
    </xf>
    <xf numFmtId="0" fontId="10" fillId="0" borderId="0" xfId="0" applyFont="1">
      <alignment vertical="center"/>
    </xf>
    <xf numFmtId="0" fontId="3" fillId="0" borderId="0" xfId="0" applyFont="1" applyAlignment="1" applyProtection="1">
      <alignment horizontal="center" vertical="center"/>
      <protection locked="0"/>
    </xf>
    <xf numFmtId="0" fontId="2" fillId="0" borderId="0" xfId="0" applyFont="1" applyAlignment="1">
      <alignment horizontal="left" vertical="center" wrapText="1"/>
    </xf>
    <xf numFmtId="178" fontId="3" fillId="0" borderId="0" xfId="0" applyNumberFormat="1" applyFont="1" applyAlignment="1">
      <alignment horizontal="center" vertical="center"/>
    </xf>
    <xf numFmtId="14" fontId="3" fillId="8" borderId="11" xfId="0" applyNumberFormat="1" applyFont="1" applyFill="1" applyBorder="1" applyAlignment="1">
      <alignment horizontal="center" vertical="center"/>
    </xf>
    <xf numFmtId="0" fontId="3" fillId="8" borderId="11" xfId="0" applyFont="1" applyFill="1" applyBorder="1" applyAlignment="1">
      <alignment horizontal="center" vertical="center"/>
    </xf>
    <xf numFmtId="0" fontId="3" fillId="8" borderId="10" xfId="0" applyFont="1" applyFill="1" applyBorder="1" applyAlignment="1">
      <alignment horizontal="center" vertical="center"/>
    </xf>
    <xf numFmtId="14" fontId="3" fillId="0" borderId="0" xfId="0" applyNumberFormat="1" applyFont="1" applyAlignment="1">
      <alignment horizontal="center" vertical="center"/>
    </xf>
    <xf numFmtId="0" fontId="3" fillId="8" borderId="0" xfId="0" applyFont="1" applyFill="1" applyAlignment="1">
      <alignment horizontal="center"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179" fontId="3" fillId="2" borderId="12" xfId="0" applyNumberFormat="1" applyFont="1" applyFill="1" applyBorder="1" applyAlignment="1">
      <alignment horizontal="center" vertical="center"/>
    </xf>
    <xf numFmtId="0" fontId="5" fillId="0" borderId="0" xfId="0" applyFont="1" applyAlignment="1">
      <alignment horizontal="right" vertical="center"/>
    </xf>
    <xf numFmtId="14" fontId="3" fillId="0" borderId="0" xfId="0" applyNumberFormat="1" applyFont="1" applyAlignment="1">
      <alignment horizontal="right" vertical="center"/>
    </xf>
    <xf numFmtId="0" fontId="9" fillId="0" borderId="0" xfId="0" applyFont="1" applyAlignment="1">
      <alignment horizontal="left" vertical="center"/>
    </xf>
    <xf numFmtId="14" fontId="16" fillId="0" borderId="0" xfId="0" applyNumberFormat="1" applyFont="1" applyProtection="1">
      <alignment vertical="center"/>
      <protection locked="0"/>
    </xf>
    <xf numFmtId="0" fontId="18" fillId="5" borderId="0" xfId="1" applyFont="1" applyAlignment="1">
      <alignment vertical="center"/>
    </xf>
    <xf numFmtId="0" fontId="18" fillId="5" borderId="0" xfId="1" applyFont="1">
      <alignment vertical="center"/>
    </xf>
    <xf numFmtId="14" fontId="18" fillId="5" borderId="0" xfId="1" applyNumberFormat="1" applyFont="1">
      <alignment vertical="center"/>
    </xf>
    <xf numFmtId="14" fontId="19" fillId="5" borderId="0" xfId="1" applyNumberFormat="1" applyFont="1">
      <alignment vertical="center"/>
    </xf>
    <xf numFmtId="14" fontId="19" fillId="0" borderId="0" xfId="1" applyNumberFormat="1" applyFont="1" applyFill="1">
      <alignment vertical="center"/>
    </xf>
    <xf numFmtId="0" fontId="3" fillId="9" borderId="0" xfId="0" applyFont="1" applyFill="1" applyAlignment="1">
      <alignment horizontal="right" vertical="center"/>
    </xf>
    <xf numFmtId="0" fontId="3" fillId="9" borderId="13" xfId="0" applyFont="1" applyFill="1" applyBorder="1" applyAlignment="1">
      <alignment horizontal="right" vertical="center"/>
    </xf>
    <xf numFmtId="14" fontId="3" fillId="9" borderId="13" xfId="0" applyNumberFormat="1" applyFont="1" applyFill="1" applyBorder="1" applyAlignment="1">
      <alignment horizontal="right" vertical="center"/>
    </xf>
    <xf numFmtId="0" fontId="15" fillId="0" borderId="0" xfId="0" applyFont="1" applyAlignment="1">
      <alignment horizontal="right" vertical="center"/>
    </xf>
    <xf numFmtId="0" fontId="12" fillId="0" borderId="0" xfId="0" applyFont="1" applyAlignment="1">
      <alignment horizontal="left" vertical="center" wrapText="1"/>
    </xf>
    <xf numFmtId="0" fontId="11" fillId="0" borderId="0" xfId="0" applyFont="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right" vertical="center"/>
    </xf>
    <xf numFmtId="14" fontId="3" fillId="9" borderId="13" xfId="0" applyNumberFormat="1" applyFont="1" applyFill="1" applyBorder="1" applyAlignment="1">
      <alignment horizontal="center" vertical="center"/>
    </xf>
    <xf numFmtId="0" fontId="15" fillId="0" borderId="0" xfId="0" applyFont="1" applyAlignment="1">
      <alignment horizontal="right" vertical="center" wrapText="1"/>
    </xf>
    <xf numFmtId="14" fontId="3" fillId="3" borderId="1" xfId="0" applyNumberFormat="1" applyFont="1" applyFill="1" applyBorder="1">
      <alignment vertical="center"/>
    </xf>
    <xf numFmtId="14" fontId="3" fillId="3" borderId="1" xfId="0" applyNumberFormat="1" applyFont="1" applyFill="1" applyBorder="1" applyAlignment="1">
      <alignment horizontal="right" vertical="center"/>
    </xf>
    <xf numFmtId="14" fontId="3" fillId="2" borderId="0" xfId="0" applyNumberFormat="1" applyFont="1" applyFill="1" applyAlignment="1">
      <alignment horizontal="left" vertical="center"/>
    </xf>
    <xf numFmtId="14" fontId="3" fillId="3" borderId="1" xfId="0" applyNumberFormat="1" applyFont="1" applyFill="1" applyBorder="1" applyAlignment="1" applyProtection="1">
      <alignment horizontal="center" vertical="center"/>
      <protection locked="0"/>
    </xf>
    <xf numFmtId="14" fontId="3" fillId="9" borderId="13" xfId="0" applyNumberFormat="1" applyFont="1" applyFill="1" applyBorder="1" applyAlignment="1">
      <alignment horizontal="center" vertical="center" wrapText="1"/>
    </xf>
    <xf numFmtId="14" fontId="3" fillId="9" borderId="1" xfId="0" applyNumberFormat="1" applyFont="1" applyFill="1" applyBorder="1" applyAlignment="1" applyProtection="1">
      <alignment horizontal="right" vertical="center"/>
      <protection locked="0"/>
    </xf>
    <xf numFmtId="14" fontId="3" fillId="9" borderId="0" xfId="0" applyNumberFormat="1" applyFont="1" applyFill="1" applyAlignment="1">
      <alignment horizontal="center" vertical="center" wrapText="1"/>
    </xf>
    <xf numFmtId="0" fontId="31" fillId="0" borderId="0" xfId="0" applyFont="1">
      <alignment vertical="center"/>
    </xf>
    <xf numFmtId="0" fontId="12" fillId="0" borderId="0" xfId="0" applyFont="1" applyAlignment="1">
      <alignment horizontal="left" vertical="top" wrapText="1"/>
    </xf>
    <xf numFmtId="0" fontId="3" fillId="0" borderId="0" xfId="0" applyFont="1" applyAlignment="1">
      <alignment vertical="center" wrapText="1"/>
    </xf>
    <xf numFmtId="0" fontId="27" fillId="0" borderId="0" xfId="0" applyFont="1" applyAlignment="1">
      <alignment horizontal="right" vertical="top" wrapText="1"/>
    </xf>
    <xf numFmtId="0" fontId="17" fillId="0" borderId="0" xfId="0" applyFont="1" applyAlignment="1">
      <alignment horizontal="left" vertical="top" wrapText="1"/>
    </xf>
    <xf numFmtId="0" fontId="12" fillId="0" borderId="0" xfId="0" applyFont="1" applyAlignment="1">
      <alignment vertical="top" wrapText="1"/>
    </xf>
    <xf numFmtId="14" fontId="3" fillId="0" borderId="0" xfId="0" applyNumberFormat="1" applyFont="1" applyAlignment="1">
      <alignment horizontal="left" vertical="center"/>
    </xf>
    <xf numFmtId="0" fontId="6" fillId="0" borderId="0" xfId="0" applyFont="1">
      <alignment vertical="center"/>
    </xf>
    <xf numFmtId="0" fontId="24" fillId="0" borderId="0" xfId="0" applyFont="1" applyAlignment="1">
      <alignment horizontal="right" vertical="center"/>
    </xf>
    <xf numFmtId="0" fontId="3" fillId="0" borderId="0" xfId="0" applyFont="1" applyAlignment="1">
      <alignment vertical="top"/>
    </xf>
    <xf numFmtId="0" fontId="3" fillId="0" borderId="0" xfId="0" applyFont="1" applyAlignment="1">
      <alignment horizontal="left" vertical="top"/>
    </xf>
    <xf numFmtId="0" fontId="17" fillId="0" borderId="0" xfId="0" applyFont="1" applyAlignment="1">
      <alignment vertical="top" wrapText="1"/>
    </xf>
    <xf numFmtId="0" fontId="3" fillId="0" borderId="0" xfId="0" applyFont="1" applyAlignment="1">
      <alignment horizontal="center" vertical="center" wrapText="1"/>
    </xf>
    <xf numFmtId="0" fontId="7" fillId="0" borderId="0" xfId="0" applyFont="1">
      <alignment vertical="center"/>
    </xf>
    <xf numFmtId="14" fontId="3" fillId="8" borderId="1" xfId="0" applyNumberFormat="1" applyFont="1" applyFill="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vertical="center" wrapText="1"/>
    </xf>
    <xf numFmtId="0" fontId="5" fillId="8" borderId="30" xfId="0" applyFont="1" applyFill="1" applyBorder="1" applyAlignment="1">
      <alignment horizontal="center" vertical="center"/>
    </xf>
    <xf numFmtId="0" fontId="3" fillId="0" borderId="23" xfId="0" applyFont="1" applyBorder="1" applyAlignment="1">
      <alignment horizontal="left" vertical="center"/>
    </xf>
    <xf numFmtId="14" fontId="3" fillId="9" borderId="22" xfId="0" applyNumberFormat="1" applyFont="1" applyFill="1" applyBorder="1" applyAlignment="1">
      <alignment horizontal="center" vertical="center"/>
    </xf>
    <xf numFmtId="14" fontId="3" fillId="0" borderId="15" xfId="0" applyNumberFormat="1" applyFont="1" applyBorder="1" applyAlignment="1">
      <alignment horizontal="right" vertical="center"/>
    </xf>
    <xf numFmtId="0" fontId="17" fillId="0" borderId="0" xfId="0" applyFont="1" applyAlignment="1">
      <alignment horizontal="left"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3" fillId="10" borderId="34" xfId="0" applyFont="1" applyFill="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right" vertical="top" wrapText="1"/>
    </xf>
    <xf numFmtId="0" fontId="0" fillId="0" borderId="0" xfId="0"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0" fontId="3" fillId="2" borderId="31" xfId="0" applyFont="1" applyFill="1" applyBorder="1" applyAlignment="1" applyProtection="1">
      <alignment horizontal="center" vertical="center"/>
      <protection locked="0"/>
    </xf>
    <xf numFmtId="0" fontId="44" fillId="0" borderId="0" xfId="0" applyFont="1">
      <alignment vertical="center"/>
    </xf>
    <xf numFmtId="14" fontId="44" fillId="0" borderId="0" xfId="0" applyNumberFormat="1" applyFont="1">
      <alignment vertical="center"/>
    </xf>
    <xf numFmtId="0" fontId="44" fillId="0" borderId="38" xfId="0" applyFont="1" applyBorder="1" applyAlignment="1">
      <alignment horizontal="center" vertical="center"/>
    </xf>
    <xf numFmtId="181" fontId="44" fillId="0" borderId="39" xfId="0" applyNumberFormat="1" applyFont="1" applyBorder="1">
      <alignment vertical="center"/>
    </xf>
    <xf numFmtId="0" fontId="44" fillId="0" borderId="41" xfId="0" applyFont="1" applyBorder="1" applyAlignment="1">
      <alignment horizontal="center" vertical="center"/>
    </xf>
    <xf numFmtId="181" fontId="44" fillId="0" borderId="42" xfId="0" applyNumberFormat="1" applyFont="1" applyBorder="1">
      <alignment vertical="center"/>
    </xf>
    <xf numFmtId="0" fontId="44" fillId="0" borderId="44" xfId="0" applyFont="1" applyBorder="1" applyAlignment="1">
      <alignment horizontal="center" vertical="center"/>
    </xf>
    <xf numFmtId="181" fontId="44" fillId="0" borderId="45" xfId="0" applyNumberFormat="1" applyFont="1" applyBorder="1">
      <alignment vertical="center"/>
    </xf>
    <xf numFmtId="0" fontId="44" fillId="12" borderId="16" xfId="0" applyFont="1" applyFill="1" applyBorder="1" applyAlignment="1">
      <alignment horizontal="center" vertical="center"/>
    </xf>
    <xf numFmtId="0" fontId="44" fillId="0" borderId="46" xfId="0" applyFont="1" applyBorder="1">
      <alignment vertical="center"/>
    </xf>
    <xf numFmtId="0" fontId="44" fillId="0" borderId="47" xfId="0" applyFont="1" applyBorder="1">
      <alignment vertical="center"/>
    </xf>
    <xf numFmtId="0" fontId="44" fillId="0" borderId="48" xfId="0" applyFont="1" applyBorder="1">
      <alignment vertical="center"/>
    </xf>
    <xf numFmtId="0" fontId="44" fillId="0" borderId="0" xfId="0" applyFont="1" applyAlignment="1">
      <alignment horizontal="center" vertical="center"/>
    </xf>
    <xf numFmtId="0" fontId="44" fillId="0" borderId="0" xfId="0" applyFont="1" applyAlignment="1">
      <alignment horizontal="right" vertical="center"/>
    </xf>
    <xf numFmtId="181" fontId="3" fillId="2" borderId="31" xfId="0" applyNumberFormat="1" applyFont="1" applyFill="1" applyBorder="1" applyAlignment="1" applyProtection="1">
      <alignment horizontal="center" vertical="center"/>
      <protection locked="0"/>
    </xf>
    <xf numFmtId="0" fontId="3" fillId="9" borderId="20" xfId="0" applyFont="1" applyFill="1" applyBorder="1" applyAlignment="1">
      <alignment horizontal="center" vertical="center"/>
    </xf>
    <xf numFmtId="0" fontId="3" fillId="9" borderId="49" xfId="0" applyFont="1" applyFill="1" applyBorder="1" applyAlignment="1">
      <alignment horizontal="center" vertical="center"/>
    </xf>
    <xf numFmtId="0" fontId="44" fillId="12" borderId="50" xfId="0" applyFont="1" applyFill="1" applyBorder="1" applyAlignment="1">
      <alignment horizontal="center" vertical="center"/>
    </xf>
    <xf numFmtId="0" fontId="44" fillId="12" borderId="51" xfId="0" applyFont="1" applyFill="1" applyBorder="1" applyAlignment="1">
      <alignment horizontal="center" vertical="center"/>
    </xf>
    <xf numFmtId="0" fontId="44" fillId="12" borderId="52" xfId="0" applyFont="1" applyFill="1" applyBorder="1" applyAlignment="1">
      <alignment horizontal="center" vertical="center"/>
    </xf>
    <xf numFmtId="182" fontId="44" fillId="0" borderId="40" xfId="0" applyNumberFormat="1" applyFont="1" applyBorder="1">
      <alignment vertical="center"/>
    </xf>
    <xf numFmtId="182" fontId="44" fillId="0" borderId="43" xfId="0" applyNumberFormat="1" applyFont="1" applyBorder="1">
      <alignment vertical="center"/>
    </xf>
    <xf numFmtId="182" fontId="44" fillId="0" borderId="54" xfId="0" applyNumberFormat="1" applyFont="1" applyBorder="1">
      <alignment vertical="center"/>
    </xf>
    <xf numFmtId="181" fontId="3" fillId="2" borderId="1" xfId="0" applyNumberFormat="1" applyFont="1" applyFill="1" applyBorder="1" applyAlignment="1" applyProtection="1">
      <alignment horizontal="center" vertical="center"/>
      <protection locked="0"/>
    </xf>
    <xf numFmtId="0" fontId="3" fillId="0" borderId="0" xfId="0" applyFont="1" applyAlignment="1">
      <alignment horizontal="right" vertical="center" wrapText="1"/>
    </xf>
    <xf numFmtId="14" fontId="3" fillId="8" borderId="1" xfId="0" applyNumberFormat="1" applyFont="1" applyFill="1" applyBorder="1">
      <alignment vertical="center"/>
    </xf>
    <xf numFmtId="14" fontId="3" fillId="8" borderId="22" xfId="0" applyNumberFormat="1" applyFont="1" applyFill="1" applyBorder="1">
      <alignment vertical="center"/>
    </xf>
    <xf numFmtId="0" fontId="0" fillId="8" borderId="16" xfId="0" applyFill="1" applyBorder="1">
      <alignment vertical="center"/>
    </xf>
    <xf numFmtId="0" fontId="0" fillId="0" borderId="0" xfId="0" applyAlignment="1">
      <alignment vertical="center" shrinkToFit="1"/>
    </xf>
    <xf numFmtId="0" fontId="0" fillId="0" borderId="16" xfId="0" applyBorder="1">
      <alignment vertical="center"/>
    </xf>
    <xf numFmtId="0" fontId="0" fillId="0" borderId="16" xfId="0" applyBorder="1" applyAlignment="1">
      <alignment vertical="center" shrinkToFit="1"/>
    </xf>
    <xf numFmtId="181" fontId="3" fillId="9" borderId="21" xfId="0" applyNumberFormat="1" applyFont="1" applyFill="1" applyBorder="1" applyAlignment="1">
      <alignment horizontal="center" vertical="center"/>
    </xf>
    <xf numFmtId="14" fontId="6" fillId="9" borderId="1" xfId="0" applyNumberFormat="1" applyFont="1" applyFill="1" applyBorder="1" applyAlignment="1">
      <alignment horizontal="center" vertical="center"/>
    </xf>
    <xf numFmtId="0" fontId="17" fillId="0" borderId="0" xfId="0" applyFont="1">
      <alignment vertical="center"/>
    </xf>
    <xf numFmtId="0" fontId="20" fillId="0" borderId="0" xfId="0" applyFont="1">
      <alignment vertical="center"/>
    </xf>
    <xf numFmtId="182" fontId="44" fillId="6" borderId="53" xfId="0" applyNumberFormat="1" applyFont="1" applyFill="1" applyBorder="1">
      <alignment vertical="center"/>
    </xf>
    <xf numFmtId="0" fontId="44" fillId="6" borderId="16" xfId="0" applyFont="1" applyFill="1" applyBorder="1">
      <alignment vertical="center"/>
    </xf>
    <xf numFmtId="0" fontId="14" fillId="0" borderId="0" xfId="2" applyAlignment="1">
      <alignment horizontal="center" vertical="center"/>
    </xf>
    <xf numFmtId="0" fontId="45" fillId="0" borderId="0" xfId="0" applyFont="1" applyAlignment="1">
      <alignment horizontal="left" vertical="center"/>
    </xf>
    <xf numFmtId="182" fontId="44" fillId="6" borderId="55" xfId="0" applyNumberFormat="1" applyFont="1" applyFill="1" applyBorder="1">
      <alignment vertical="center"/>
    </xf>
    <xf numFmtId="181" fontId="44" fillId="0" borderId="38" xfId="0" applyNumberFormat="1" applyFont="1" applyBorder="1">
      <alignment vertical="center"/>
    </xf>
    <xf numFmtId="181" fontId="44" fillId="0" borderId="41" xfId="0" applyNumberFormat="1" applyFont="1" applyBorder="1">
      <alignment vertical="center"/>
    </xf>
    <xf numFmtId="181" fontId="44" fillId="0" borderId="44" xfId="0" applyNumberFormat="1" applyFont="1" applyBorder="1">
      <alignment vertical="center"/>
    </xf>
    <xf numFmtId="182" fontId="44" fillId="0" borderId="56" xfId="0" applyNumberFormat="1" applyFont="1" applyBorder="1">
      <alignment vertical="center"/>
    </xf>
    <xf numFmtId="0" fontId="14" fillId="0" borderId="0" xfId="2">
      <alignment vertical="center"/>
    </xf>
    <xf numFmtId="0" fontId="46" fillId="0" borderId="0" xfId="0" applyFont="1">
      <alignment vertical="center"/>
    </xf>
    <xf numFmtId="0" fontId="47" fillId="0" borderId="0" xfId="2" applyFont="1">
      <alignment vertical="center"/>
    </xf>
    <xf numFmtId="0" fontId="46" fillId="0" borderId="39" xfId="0" applyFont="1" applyBorder="1" applyAlignment="1">
      <alignment horizontal="center" vertical="center"/>
    </xf>
    <xf numFmtId="0" fontId="46" fillId="0" borderId="40" xfId="0" applyFont="1" applyBorder="1" applyAlignment="1">
      <alignment vertical="center" wrapText="1"/>
    </xf>
    <xf numFmtId="0" fontId="46" fillId="0" borderId="42" xfId="0" applyFont="1" applyBorder="1" applyAlignment="1">
      <alignment horizontal="center" vertical="center"/>
    </xf>
    <xf numFmtId="0" fontId="46" fillId="0" borderId="43" xfId="0" applyFont="1" applyBorder="1" applyAlignment="1">
      <alignment vertical="center" wrapText="1"/>
    </xf>
    <xf numFmtId="0" fontId="46" fillId="0" borderId="42" xfId="0" applyFont="1" applyBorder="1" applyAlignment="1">
      <alignment vertical="center" wrapText="1"/>
    </xf>
    <xf numFmtId="0" fontId="46" fillId="0" borderId="43" xfId="0" applyFont="1" applyBorder="1">
      <alignment vertical="center"/>
    </xf>
    <xf numFmtId="0" fontId="46" fillId="0" borderId="45" xfId="0" applyFont="1" applyBorder="1" applyAlignment="1">
      <alignment horizontal="center" vertical="center"/>
    </xf>
    <xf numFmtId="0" fontId="46" fillId="0" borderId="56" xfId="0" applyFont="1" applyBorder="1" applyAlignment="1">
      <alignment vertical="center" wrapText="1"/>
    </xf>
    <xf numFmtId="0" fontId="46" fillId="0" borderId="38" xfId="0" applyFont="1" applyBorder="1" applyAlignment="1">
      <alignment vertical="center" shrinkToFit="1"/>
    </xf>
    <xf numFmtId="0" fontId="46" fillId="0" borderId="41" xfId="0" applyFont="1" applyBorder="1" applyAlignment="1">
      <alignment vertical="center" shrinkToFit="1"/>
    </xf>
    <xf numFmtId="0" fontId="46" fillId="0" borderId="44" xfId="0" applyFont="1" applyBorder="1" applyAlignment="1">
      <alignment vertical="center" shrinkToFit="1"/>
    </xf>
    <xf numFmtId="0" fontId="46" fillId="0" borderId="39" xfId="0" applyFont="1" applyBorder="1" applyAlignment="1">
      <alignment horizontal="center" vertical="center" shrinkToFit="1"/>
    </xf>
    <xf numFmtId="0" fontId="46" fillId="0" borderId="42" xfId="0" applyFont="1" applyBorder="1" applyAlignment="1">
      <alignment horizontal="center" vertical="center" shrinkToFit="1"/>
    </xf>
    <xf numFmtId="0" fontId="46" fillId="0" borderId="45" xfId="0" applyFont="1" applyBorder="1" applyAlignment="1">
      <alignment horizontal="center" vertical="center" shrinkToFit="1"/>
    </xf>
    <xf numFmtId="0" fontId="46" fillId="0" borderId="39" xfId="0" applyFont="1" applyBorder="1" applyAlignment="1">
      <alignment vertical="center" wrapText="1"/>
    </xf>
    <xf numFmtId="0" fontId="46" fillId="0" borderId="42" xfId="0" applyFont="1" applyBorder="1" applyAlignment="1">
      <alignment horizontal="center" vertical="center" wrapText="1"/>
    </xf>
    <xf numFmtId="0" fontId="46" fillId="0" borderId="45" xfId="0" applyFont="1" applyBorder="1" applyAlignment="1">
      <alignment vertical="center" wrapText="1"/>
    </xf>
    <xf numFmtId="0" fontId="46" fillId="12" borderId="57" xfId="0" applyFont="1" applyFill="1" applyBorder="1" applyAlignment="1">
      <alignment horizontal="center" vertical="center" shrinkToFit="1"/>
    </xf>
    <xf numFmtId="0" fontId="46" fillId="12" borderId="58" xfId="0" applyFont="1" applyFill="1" applyBorder="1" applyAlignment="1">
      <alignment horizontal="center" vertical="center" shrinkToFit="1"/>
    </xf>
    <xf numFmtId="0" fontId="46" fillId="12" borderId="59" xfId="0" applyFont="1" applyFill="1" applyBorder="1" applyAlignment="1">
      <alignment horizontal="center" vertical="center" shrinkToFit="1"/>
    </xf>
    <xf numFmtId="0" fontId="44" fillId="6" borderId="16" xfId="0" applyFont="1" applyFill="1" applyBorder="1" applyAlignment="1">
      <alignment horizontal="center" vertical="center"/>
    </xf>
    <xf numFmtId="182" fontId="44" fillId="0" borderId="0" xfId="0" applyNumberFormat="1" applyFont="1">
      <alignment vertical="center"/>
    </xf>
    <xf numFmtId="182" fontId="44" fillId="6" borderId="16" xfId="0" applyNumberFormat="1" applyFont="1" applyFill="1" applyBorder="1">
      <alignment vertical="center"/>
    </xf>
    <xf numFmtId="0" fontId="0" fillId="0" borderId="0" xfId="0" applyAlignment="1">
      <alignment vertical="center" wrapText="1"/>
    </xf>
    <xf numFmtId="0" fontId="16" fillId="0" borderId="0" xfId="0" applyFont="1" applyAlignment="1">
      <alignment horizontal="left" vertical="top"/>
    </xf>
    <xf numFmtId="0" fontId="48" fillId="0" borderId="0" xfId="0" applyFont="1" applyAlignment="1">
      <alignment horizontal="center" vertical="center"/>
    </xf>
    <xf numFmtId="0" fontId="49" fillId="0" borderId="0" xfId="0" applyFont="1">
      <alignment vertical="center"/>
    </xf>
    <xf numFmtId="0" fontId="48" fillId="0" borderId="0" xfId="0" applyFont="1">
      <alignment vertical="center"/>
    </xf>
    <xf numFmtId="181" fontId="0" fillId="0" borderId="0" xfId="0" applyNumberFormat="1" applyAlignment="1">
      <alignment horizontal="center" vertical="center"/>
    </xf>
    <xf numFmtId="14" fontId="3" fillId="8" borderId="63" xfId="0" applyNumberFormat="1" applyFont="1" applyFill="1" applyBorder="1" applyAlignment="1">
      <alignment horizontal="center" vertical="center"/>
    </xf>
    <xf numFmtId="14" fontId="3" fillId="8" borderId="64" xfId="0" applyNumberFormat="1" applyFont="1" applyFill="1" applyBorder="1" applyAlignment="1">
      <alignment horizontal="center" vertical="center"/>
    </xf>
    <xf numFmtId="0" fontId="16" fillId="0" borderId="0" xfId="0" applyFont="1" applyAlignment="1">
      <alignment vertical="center" wrapText="1"/>
    </xf>
    <xf numFmtId="0" fontId="35" fillId="13" borderId="11" xfId="0" applyFont="1" applyFill="1" applyBorder="1" applyAlignment="1" applyProtection="1">
      <alignment horizontal="center" vertical="center" wrapText="1"/>
      <protection locked="0"/>
    </xf>
    <xf numFmtId="0" fontId="10" fillId="0" borderId="0" xfId="0" applyFont="1" applyAlignment="1">
      <alignment horizontal="left" vertical="center"/>
    </xf>
    <xf numFmtId="0" fontId="3" fillId="2" borderId="16" xfId="0" applyFont="1" applyFill="1" applyBorder="1" applyAlignment="1" applyProtection="1">
      <alignment horizontal="left" vertical="top"/>
      <protection locked="0"/>
    </xf>
    <xf numFmtId="0" fontId="12" fillId="4" borderId="35" xfId="0" applyFont="1" applyFill="1" applyBorder="1" applyAlignment="1">
      <alignment horizontal="left" vertical="center" wrapText="1"/>
    </xf>
    <xf numFmtId="0" fontId="6" fillId="14" borderId="0" xfId="0" applyFont="1" applyFill="1" applyAlignment="1">
      <alignment horizontal="left" vertical="top"/>
    </xf>
    <xf numFmtId="0" fontId="6" fillId="14" borderId="0" xfId="0" applyFont="1" applyFill="1" applyAlignment="1">
      <alignment horizontal="right" vertical="top"/>
    </xf>
    <xf numFmtId="0" fontId="17" fillId="14" borderId="0" xfId="0" applyFont="1" applyFill="1" applyAlignment="1">
      <alignment horizontal="right" vertical="top" wrapText="1"/>
    </xf>
    <xf numFmtId="0" fontId="54" fillId="0" borderId="0" xfId="0" applyFont="1" applyAlignment="1">
      <alignment horizontal="center" vertical="center"/>
    </xf>
    <xf numFmtId="0" fontId="55" fillId="0" borderId="0" xfId="0" applyFont="1" applyAlignment="1">
      <alignment horizontal="center" vertical="center"/>
    </xf>
    <xf numFmtId="0" fontId="3" fillId="0" borderId="16" xfId="0" applyFont="1" applyBorder="1" applyAlignment="1" applyProtection="1">
      <alignment vertical="center" wrapText="1"/>
      <protection locked="0"/>
    </xf>
    <xf numFmtId="181" fontId="3" fillId="2" borderId="66" xfId="0" applyNumberFormat="1" applyFont="1" applyFill="1" applyBorder="1" applyAlignment="1" applyProtection="1">
      <alignment horizontal="center" vertical="center"/>
      <protection locked="0"/>
    </xf>
    <xf numFmtId="0" fontId="36" fillId="0" borderId="0" xfId="0" applyFont="1" applyAlignment="1">
      <alignment horizontal="left" vertical="top"/>
    </xf>
    <xf numFmtId="0" fontId="9" fillId="9" borderId="65" xfId="0" applyFont="1" applyFill="1" applyBorder="1" applyAlignment="1">
      <alignment horizontal="center" vertical="center" wrapText="1"/>
    </xf>
    <xf numFmtId="0" fontId="54" fillId="0" borderId="0" xfId="0" applyFont="1" applyAlignment="1">
      <alignment horizontal="center" vertical="center" wrapText="1"/>
    </xf>
    <xf numFmtId="0" fontId="3" fillId="0" borderId="0" xfId="0" applyFont="1" applyAlignment="1">
      <alignment horizontal="center" vertical="center"/>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14" fillId="2" borderId="2" xfId="2"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Alignment="1" applyProtection="1">
      <alignment horizontal="left" vertical="center"/>
      <protection locked="0"/>
    </xf>
    <xf numFmtId="0" fontId="20" fillId="0" borderId="0" xfId="0" applyFont="1" applyAlignment="1">
      <alignment horizontal="left" vertical="center"/>
    </xf>
    <xf numFmtId="0" fontId="16" fillId="7" borderId="0" xfId="0" applyFont="1" applyFill="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8" xfId="0" applyFont="1" applyBorder="1" applyAlignment="1">
      <alignment horizontal="left" vertical="center"/>
    </xf>
    <xf numFmtId="14" fontId="3" fillId="2" borderId="5" xfId="0" applyNumberFormat="1" applyFont="1" applyFill="1" applyBorder="1" applyAlignment="1">
      <alignment horizontal="left" vertical="center"/>
    </xf>
    <xf numFmtId="14" fontId="3" fillId="2" borderId="6" xfId="0" applyNumberFormat="1" applyFont="1" applyFill="1" applyBorder="1" applyAlignment="1">
      <alignment horizontal="left" vertical="center"/>
    </xf>
    <xf numFmtId="14" fontId="3" fillId="2" borderId="7" xfId="0" applyNumberFormat="1" applyFont="1" applyFill="1" applyBorder="1" applyAlignment="1">
      <alignment horizontal="left" vertical="center"/>
    </xf>
    <xf numFmtId="0" fontId="17" fillId="0" borderId="0" xfId="0" applyFont="1" applyAlignment="1">
      <alignment horizontal="left" vertical="center"/>
    </xf>
    <xf numFmtId="0" fontId="6" fillId="0" borderId="15" xfId="0" applyFont="1" applyBorder="1" applyAlignment="1">
      <alignment horizontal="left" vertical="center" wrapText="1"/>
    </xf>
    <xf numFmtId="0" fontId="17" fillId="0" borderId="15" xfId="0" applyFont="1" applyBorder="1" applyAlignment="1">
      <alignment horizontal="left" vertical="center"/>
    </xf>
    <xf numFmtId="0" fontId="15" fillId="0" borderId="0" xfId="0" applyFont="1" applyAlignment="1">
      <alignment horizontal="right" vertical="center"/>
    </xf>
    <xf numFmtId="0" fontId="2" fillId="0" borderId="0" xfId="0" applyFont="1" applyAlignment="1">
      <alignment horizontal="left" vertical="center" wrapText="1"/>
    </xf>
    <xf numFmtId="0" fontId="5" fillId="0" borderId="0" xfId="0" applyFont="1" applyAlignment="1">
      <alignment horizontal="left" vertical="center"/>
    </xf>
    <xf numFmtId="0" fontId="12" fillId="0" borderId="14" xfId="0" applyFont="1" applyBorder="1" applyAlignment="1">
      <alignment horizontal="left" vertical="center" wrapText="1"/>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17" fillId="0" borderId="0" xfId="0" applyFont="1" applyAlignment="1">
      <alignment horizontal="left" vertical="center" wrapText="1"/>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14" fontId="3" fillId="0" borderId="0" xfId="0" applyNumberFormat="1" applyFont="1" applyAlignment="1">
      <alignment horizontal="left" vertical="center" wrapText="1"/>
    </xf>
    <xf numFmtId="0" fontId="25" fillId="0" borderId="0" xfId="0" applyFont="1" applyAlignment="1">
      <alignment horizontal="center"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16" fillId="7" borderId="0" xfId="0" applyFont="1" applyFill="1" applyAlignment="1">
      <alignment horizontal="left" vertical="center" wrapText="1"/>
    </xf>
    <xf numFmtId="0" fontId="50" fillId="2" borderId="17" xfId="2"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181" fontId="3" fillId="2" borderId="17" xfId="0" applyNumberFormat="1" applyFont="1" applyFill="1" applyBorder="1" applyAlignment="1" applyProtection="1">
      <alignment horizontal="left" vertical="center" wrapText="1"/>
      <protection locked="0"/>
    </xf>
    <xf numFmtId="181" fontId="3" fillId="2" borderId="18" xfId="0" applyNumberFormat="1" applyFont="1" applyFill="1" applyBorder="1" applyAlignment="1" applyProtection="1">
      <alignment horizontal="left" vertical="center" wrapText="1"/>
      <protection locked="0"/>
    </xf>
    <xf numFmtId="181" fontId="3" fillId="2" borderId="19" xfId="0" applyNumberFormat="1" applyFont="1" applyFill="1" applyBorder="1" applyAlignment="1" applyProtection="1">
      <alignment horizontal="left" vertical="center" wrapText="1"/>
      <protection locked="0"/>
    </xf>
    <xf numFmtId="49" fontId="3" fillId="2" borderId="17" xfId="0" applyNumberFormat="1" applyFont="1" applyFill="1" applyBorder="1" applyAlignment="1" applyProtection="1">
      <alignment horizontal="left" vertical="center" wrapText="1"/>
      <protection locked="0"/>
    </xf>
    <xf numFmtId="49" fontId="3" fillId="2" borderId="18" xfId="0" applyNumberFormat="1" applyFont="1" applyFill="1" applyBorder="1" applyAlignment="1" applyProtection="1">
      <alignment horizontal="left" vertical="center" wrapText="1"/>
      <protection locked="0"/>
    </xf>
    <xf numFmtId="49" fontId="3" fillId="2" borderId="19" xfId="0" applyNumberFormat="1"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0" borderId="14" xfId="0" applyFont="1" applyBorder="1" applyAlignment="1">
      <alignment horizontal="left" vertical="center" wrapText="1"/>
    </xf>
    <xf numFmtId="0" fontId="3" fillId="0" borderId="0" xfId="0" applyFont="1" applyAlignment="1">
      <alignment horizontal="right" vertical="top"/>
    </xf>
    <xf numFmtId="0" fontId="30" fillId="0" borderId="0" xfId="0" applyFont="1" applyAlignment="1">
      <alignment horizontal="left" vertical="center" wrapText="1"/>
    </xf>
    <xf numFmtId="0" fontId="3" fillId="2" borderId="17" xfId="0" applyFont="1" applyFill="1" applyBorder="1" applyAlignment="1" applyProtection="1">
      <alignment horizontal="left" vertical="top"/>
      <protection locked="0"/>
    </xf>
    <xf numFmtId="0" fontId="3" fillId="2" borderId="19" xfId="0" applyFont="1" applyFill="1" applyBorder="1" applyAlignment="1" applyProtection="1">
      <alignment horizontal="left" vertical="top"/>
      <protection locked="0"/>
    </xf>
    <xf numFmtId="0" fontId="3" fillId="0" borderId="0" xfId="0" applyFont="1" applyAlignment="1">
      <alignment horizontal="left" vertical="top" wrapText="1"/>
    </xf>
    <xf numFmtId="0" fontId="38" fillId="11" borderId="17" xfId="0" applyFont="1" applyFill="1" applyBorder="1" applyAlignment="1" applyProtection="1">
      <alignment horizontal="center" vertical="center" wrapText="1"/>
      <protection locked="0"/>
    </xf>
    <xf numFmtId="0" fontId="38" fillId="11" borderId="18" xfId="0" applyFont="1" applyFill="1" applyBorder="1" applyAlignment="1" applyProtection="1">
      <alignment horizontal="center" vertical="center" wrapText="1"/>
      <protection locked="0"/>
    </xf>
    <xf numFmtId="0" fontId="38" fillId="11" borderId="19" xfId="0" applyFont="1" applyFill="1" applyBorder="1" applyAlignment="1" applyProtection="1">
      <alignment horizontal="center" vertical="center" wrapText="1"/>
      <protection locked="0"/>
    </xf>
    <xf numFmtId="0" fontId="40" fillId="0" borderId="17" xfId="0" applyFont="1" applyBorder="1" applyAlignment="1">
      <alignment horizontal="left" vertical="center" wrapText="1"/>
    </xf>
    <xf numFmtId="0" fontId="40" fillId="0" borderId="19" xfId="0" applyFont="1" applyBorder="1" applyAlignment="1">
      <alignment horizontal="left" vertical="center" wrapText="1"/>
    </xf>
    <xf numFmtId="0" fontId="6" fillId="14" borderId="0" xfId="0" applyFont="1" applyFill="1" applyAlignment="1">
      <alignment horizontal="left" vertical="top"/>
    </xf>
    <xf numFmtId="0" fontId="6" fillId="14" borderId="0" xfId="0" applyFont="1" applyFill="1" applyAlignment="1">
      <alignment horizontal="left" vertical="top"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9" fillId="0" borderId="33" xfId="0" applyFont="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12" fillId="2" borderId="35" xfId="0" applyFont="1" applyFill="1" applyBorder="1" applyAlignment="1" applyProtection="1">
      <alignment horizontal="left" vertical="center" wrapText="1"/>
      <protection locked="0"/>
    </xf>
    <xf numFmtId="0" fontId="12" fillId="2" borderId="36"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9" fillId="0" borderId="0" xfId="0" applyFont="1" applyAlignment="1">
      <alignment horizontal="center" vertical="center" shrinkToFit="1"/>
    </xf>
    <xf numFmtId="0" fontId="9" fillId="0" borderId="37" xfId="0" applyFont="1" applyBorder="1" applyAlignment="1">
      <alignment horizontal="center" vertical="center" shrinkToFi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3" fillId="8" borderId="16" xfId="0" applyFont="1" applyFill="1" applyBorder="1" applyAlignment="1">
      <alignment vertical="center" shrinkToFit="1"/>
    </xf>
    <xf numFmtId="0" fontId="3" fillId="8" borderId="5" xfId="0" applyFont="1" applyFill="1" applyBorder="1">
      <alignment vertical="center"/>
    </xf>
    <xf numFmtId="0" fontId="3" fillId="8" borderId="6" xfId="0" applyFont="1" applyFill="1" applyBorder="1">
      <alignment vertical="center"/>
    </xf>
    <xf numFmtId="0" fontId="3" fillId="8" borderId="7" xfId="0" applyFont="1" applyFill="1" applyBorder="1">
      <alignment vertical="center"/>
    </xf>
    <xf numFmtId="0" fontId="12" fillId="0" borderId="0" xfId="0" applyFont="1">
      <alignment vertical="center"/>
    </xf>
    <xf numFmtId="0" fontId="3" fillId="8" borderId="5" xfId="0" applyFont="1" applyFill="1" applyBorder="1" applyAlignment="1">
      <alignment horizontal="left" vertical="center"/>
    </xf>
    <xf numFmtId="0" fontId="3" fillId="8" borderId="6" xfId="0" applyFont="1" applyFill="1" applyBorder="1" applyAlignment="1">
      <alignment horizontal="left" vertical="center"/>
    </xf>
    <xf numFmtId="0" fontId="3" fillId="8" borderId="7" xfId="0" applyFont="1" applyFill="1" applyBorder="1" applyAlignment="1">
      <alignment horizontal="left" vertical="center"/>
    </xf>
    <xf numFmtId="14" fontId="3" fillId="8" borderId="5" xfId="0" applyNumberFormat="1" applyFont="1" applyFill="1" applyBorder="1" applyAlignment="1">
      <alignment horizontal="left" vertical="center"/>
    </xf>
    <xf numFmtId="14" fontId="3" fillId="8" borderId="6" xfId="0" applyNumberFormat="1" applyFont="1" applyFill="1" applyBorder="1" applyAlignment="1">
      <alignment horizontal="left" vertical="center"/>
    </xf>
    <xf numFmtId="14" fontId="3" fillId="8" borderId="7" xfId="0" applyNumberFormat="1" applyFont="1" applyFill="1" applyBorder="1" applyAlignment="1">
      <alignment horizontal="left" vertical="center"/>
    </xf>
    <xf numFmtId="0" fontId="28"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2" fillId="7" borderId="0" xfId="0" applyFont="1" applyFill="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center" vertical="center"/>
    </xf>
    <xf numFmtId="0" fontId="35" fillId="0" borderId="0" xfId="0" applyFont="1" applyAlignment="1">
      <alignment horizontal="left" vertical="center" wrapText="1"/>
    </xf>
    <xf numFmtId="180" fontId="3" fillId="2" borderId="2" xfId="0" applyNumberFormat="1" applyFont="1" applyFill="1" applyBorder="1" applyAlignment="1" applyProtection="1">
      <alignment horizontal="left" vertical="center"/>
      <protection locked="0"/>
    </xf>
    <xf numFmtId="180" fontId="3" fillId="2" borderId="3" xfId="0" applyNumberFormat="1" applyFont="1" applyFill="1" applyBorder="1" applyAlignment="1" applyProtection="1">
      <alignment horizontal="left" vertical="center"/>
      <protection locked="0"/>
    </xf>
    <xf numFmtId="180" fontId="3" fillId="2" borderId="4" xfId="0" applyNumberFormat="1" applyFont="1" applyFill="1" applyBorder="1" applyAlignment="1" applyProtection="1">
      <alignment horizontal="left" vertical="center"/>
      <protection locked="0"/>
    </xf>
    <xf numFmtId="0" fontId="15" fillId="0" borderId="0" xfId="0" applyFont="1" applyAlignment="1">
      <alignment horizontal="left" vertical="center"/>
    </xf>
    <xf numFmtId="181" fontId="3" fillId="2" borderId="32" xfId="0" applyNumberFormat="1" applyFont="1" applyFill="1" applyBorder="1" applyAlignment="1" applyProtection="1">
      <alignment horizontal="center" vertical="center"/>
      <protection locked="0"/>
    </xf>
    <xf numFmtId="181" fontId="3" fillId="2" borderId="55" xfId="0" applyNumberFormat="1" applyFont="1" applyFill="1" applyBorder="1" applyAlignment="1" applyProtection="1">
      <alignment horizontal="center" vertical="center"/>
      <protection locked="0"/>
    </xf>
    <xf numFmtId="0" fontId="16" fillId="0" borderId="26" xfId="0" applyFont="1" applyBorder="1" applyAlignment="1">
      <alignment horizontal="left" vertical="center"/>
    </xf>
    <xf numFmtId="0" fontId="4" fillId="0" borderId="0" xfId="0" applyFont="1" applyAlignment="1">
      <alignment horizontal="center" vertical="center" wrapText="1"/>
    </xf>
    <xf numFmtId="0" fontId="0" fillId="0" borderId="0" xfId="0" applyAlignment="1">
      <alignment horizontal="right" vertical="center"/>
    </xf>
    <xf numFmtId="0" fontId="37" fillId="0" borderId="0" xfId="0" applyFont="1" applyAlignment="1">
      <alignment horizontal="center" vertical="center"/>
    </xf>
    <xf numFmtId="0" fontId="0" fillId="0" borderId="24" xfId="0" applyBorder="1" applyAlignment="1">
      <alignment horizontal="left" vertical="top" wrapText="1"/>
    </xf>
    <xf numFmtId="0" fontId="0" fillId="0" borderId="1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15" xfId="0" applyBorder="1" applyAlignment="1">
      <alignment horizontal="left" vertical="top"/>
    </xf>
    <xf numFmtId="0" fontId="0" fillId="0" borderId="29" xfId="0" applyBorder="1" applyAlignment="1">
      <alignment horizontal="left" vertical="top"/>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14" fillId="0" borderId="0" xfId="2"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181" fontId="44" fillId="0" borderId="60" xfId="0" applyNumberFormat="1" applyFont="1" applyBorder="1" applyAlignment="1">
      <alignment horizontal="center" vertical="center"/>
    </xf>
    <xf numFmtId="181" fontId="44" fillId="0" borderId="61" xfId="0" applyNumberFormat="1" applyFont="1" applyBorder="1" applyAlignment="1">
      <alignment horizontal="center" vertical="center"/>
    </xf>
    <xf numFmtId="181" fontId="44" fillId="0" borderId="62" xfId="0" applyNumberFormat="1" applyFont="1" applyBorder="1" applyAlignment="1">
      <alignment horizontal="center" vertical="center"/>
    </xf>
  </cellXfs>
  <cellStyles count="3">
    <cellStyle name="ハイパーリンク" xfId="2" builtinId="8"/>
    <cellStyle name="標準" xfId="0" builtinId="0"/>
    <cellStyle name="良い" xfId="1" builtinId="26"/>
  </cellStyles>
  <dxfs count="74">
    <dxf>
      <font>
        <b/>
        <i val="0"/>
        <color rgb="FFFF0000"/>
      </font>
    </dxf>
    <dxf>
      <font>
        <b/>
        <i val="0"/>
        <color rgb="FF0070C0"/>
      </font>
    </dxf>
    <dxf>
      <font>
        <b/>
        <i val="0"/>
        <color rgb="FFFF0000"/>
      </font>
    </dxf>
    <dxf>
      <font>
        <b/>
        <i val="0"/>
        <color rgb="FF0070C0"/>
      </font>
    </dxf>
    <dxf>
      <fill>
        <patternFill>
          <bgColor rgb="FF00B0F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b/>
        <i val="0"/>
        <color rgb="FF0070C0"/>
      </font>
    </dxf>
    <dxf>
      <font>
        <b/>
        <i val="0"/>
        <color rgb="FFFF0000"/>
      </font>
    </dxf>
    <dxf>
      <font>
        <b/>
        <i val="0"/>
        <color rgb="FFFF0000"/>
      </font>
    </dxf>
    <dxf>
      <font>
        <b/>
        <i val="0"/>
        <color rgb="FFFF0000"/>
      </font>
    </dxf>
    <dxf>
      <font>
        <b/>
        <i val="0"/>
        <color rgb="FFFF0000"/>
      </font>
    </dxf>
    <dxf>
      <font>
        <b/>
        <i val="0"/>
        <color rgb="FF0070C0"/>
      </font>
    </dxf>
    <dxf>
      <font>
        <color theme="0"/>
      </font>
    </dxf>
    <dxf>
      <font>
        <color theme="0"/>
      </font>
    </dxf>
    <dxf>
      <font>
        <color theme="0"/>
      </font>
    </dxf>
    <dxf>
      <font>
        <color theme="0"/>
      </font>
    </dxf>
    <dxf>
      <font>
        <color theme="0"/>
      </font>
    </dxf>
    <dxf>
      <font>
        <color theme="0"/>
      </font>
    </dxf>
    <dxf>
      <font>
        <color theme="0"/>
      </font>
    </dxf>
    <dxf>
      <font>
        <b/>
        <i val="0"/>
        <color rgb="FF0070C0"/>
      </font>
    </dxf>
    <dxf>
      <font>
        <b/>
        <i val="0"/>
        <color rgb="FFFF0000"/>
      </font>
    </dxf>
    <dxf>
      <font>
        <b/>
        <i val="0"/>
        <color rgb="FFFF0000"/>
      </font>
    </dxf>
    <dxf>
      <font>
        <b/>
        <i val="0"/>
        <color rgb="FFFF0000"/>
      </font>
    </dxf>
    <dxf>
      <fill>
        <patternFill>
          <bgColor rgb="FFFF99FF"/>
        </patternFill>
      </fill>
    </dxf>
    <dxf>
      <fill>
        <patternFill>
          <bgColor rgb="FF92D050"/>
        </patternFill>
      </fill>
    </dxf>
    <dxf>
      <fill>
        <patternFill>
          <bgColor rgb="FF92D050"/>
        </patternFill>
      </fill>
    </dxf>
    <dxf>
      <fill>
        <patternFill>
          <bgColor rgb="FFB5E6A2"/>
        </patternFill>
      </fill>
    </dxf>
    <dxf>
      <fill>
        <patternFill>
          <bgColor rgb="FFFFFF00"/>
        </patternFill>
      </fill>
    </dxf>
    <dxf>
      <fill>
        <patternFill>
          <bgColor rgb="FFE49EDD"/>
        </patternFill>
      </fill>
    </dxf>
    <dxf>
      <fill>
        <patternFill>
          <bgColor rgb="FF92D050"/>
        </patternFill>
      </fill>
    </dxf>
    <dxf>
      <fill>
        <patternFill>
          <bgColor rgb="FF92D050"/>
        </patternFill>
      </fill>
    </dxf>
    <dxf>
      <fill>
        <patternFill>
          <bgColor rgb="FFFF99FF"/>
        </patternFill>
      </fill>
    </dxf>
    <dxf>
      <fill>
        <patternFill>
          <bgColor rgb="FFB5E6A2"/>
        </patternFill>
      </fill>
    </dxf>
    <dxf>
      <fill>
        <patternFill>
          <bgColor rgb="FFFFFF00"/>
        </patternFill>
      </fill>
    </dxf>
    <dxf>
      <fill>
        <patternFill>
          <bgColor rgb="FFE49EDD"/>
        </patternFill>
      </fill>
    </dxf>
    <dxf>
      <fill>
        <patternFill>
          <bgColor rgb="FFFF99FF"/>
        </patternFill>
      </fill>
    </dxf>
    <dxf>
      <fill>
        <patternFill>
          <bgColor rgb="FFB5E6A2"/>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99FF"/>
        </patternFill>
      </fill>
    </dxf>
    <dxf>
      <fill>
        <patternFill>
          <bgColor rgb="FFE49EDD"/>
        </patternFill>
      </fill>
    </dxf>
    <dxf>
      <fill>
        <patternFill>
          <bgColor rgb="FFB5E6A2"/>
        </patternFill>
      </fill>
    </dxf>
    <dxf>
      <fill>
        <patternFill>
          <bgColor rgb="FFE49EDD"/>
        </patternFill>
      </fill>
    </dxf>
    <dxf>
      <fill>
        <patternFill>
          <bgColor rgb="FF92D050"/>
        </patternFill>
      </fill>
    </dxf>
    <dxf>
      <fill>
        <patternFill>
          <bgColor rgb="FF92D050"/>
        </patternFill>
      </fill>
    </dxf>
    <dxf>
      <fill>
        <patternFill>
          <bgColor rgb="FFFFC000"/>
        </patternFill>
      </fill>
    </dxf>
    <dxf>
      <fill>
        <patternFill>
          <bgColor rgb="FF00B0F0"/>
        </patternFill>
      </fill>
    </dxf>
    <dxf>
      <fill>
        <patternFill>
          <bgColor rgb="FFFFFF00"/>
        </patternFill>
      </fill>
    </dxf>
    <dxf>
      <fill>
        <patternFill>
          <bgColor rgb="FFFF99FF"/>
        </patternFill>
      </fill>
    </dxf>
    <dxf>
      <fill>
        <patternFill>
          <bgColor rgb="FF92D050"/>
        </patternFill>
      </fill>
    </dxf>
    <dxf>
      <fill>
        <patternFill>
          <bgColor rgb="FFFF0066"/>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ont>
        <b/>
        <i val="0"/>
        <color rgb="FFFF0000"/>
      </font>
    </dxf>
    <dxf>
      <numFmt numFmtId="0" formatCode="General"/>
    </dxf>
  </dxfs>
  <tableStyles count="0" defaultTableStyle="TableStyleMedium2" defaultPivotStyle="PivotStyleLight16"/>
  <colors>
    <mruColors>
      <color rgb="FFFF99FF"/>
      <color rgb="FFFF66FF"/>
      <color rgb="FFFC6C85"/>
      <color rgb="FFFFFF66"/>
      <color rgb="FFE49EDD"/>
      <color rgb="FFB5E6A2"/>
      <color rgb="FF00B0F0"/>
      <color rgb="FF00B050"/>
      <color rgb="FFCCFFFF"/>
      <color rgb="FFE17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930CD2-2BE9-4FE9-AE93-23860CB20B60}" name="申請区分TB" displayName="申請区分TB" ref="A1:A3" totalsRowShown="0">
  <autoFilter ref="A1:A3" xr:uid="{8D930CD2-2BE9-4FE9-AE93-23860CB20B60}"/>
  <tableColumns count="1">
    <tableColumn id="1" xr3:uid="{CA0CEE14-5097-4E71-B091-A97FC896E685}" name="申請区分"/>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A03F0E-B114-424A-BB60-AEB4F881FB6D}" name="業種TB" displayName="業種TB" ref="C1:C3" totalsRowShown="0">
  <autoFilter ref="C1:C3" xr:uid="{C2A03F0E-B114-424A-BB60-AEB4F881FB6D}"/>
  <tableColumns count="1">
    <tableColumn id="1" xr3:uid="{B071F10A-EF43-42D6-B4E1-F36A27D45A69}" name="業種"/>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A0B6F6-37B5-4F5E-9758-13C6F1A9E309}" name="判定マスタTB" displayName="判定マスタTB" ref="E1:I24" totalsRowShown="0">
  <autoFilter ref="E1:I24" xr:uid="{97A0B6F6-37B5-4F5E-9758-13C6F1A9E309}"/>
  <tableColumns count="5">
    <tableColumn id="1" xr3:uid="{1FD392D5-BE8D-4076-A5B0-044B0FA1ECE0}" name="シート名">
      <calculatedColumnFormula array="1">MID(CELL("filename",【A】実務経験要件判定シート!$A$1),FIND("]",CELL("filename",【A】実務経験要件判定シート!$A$1))+1,31)</calculatedColumnFormula>
    </tableColumn>
    <tableColumn id="3" xr3:uid="{28ED364B-A2B1-4562-8464-57EACB14B747}" name="項目"/>
    <tableColumn id="4" xr3:uid="{BA15CC3D-ECBE-48B6-B410-5D44F83111BA}" name="判定"/>
    <tableColumn id="5" xr3:uid="{2B526AEA-DC3A-4419-932E-78E7322442E6}" name="色番号"/>
    <tableColumn id="6" xr3:uid="{1474D605-2D3D-4A5B-BEC5-B15A14D3F68A}" name="色" dataDxfId="73">
      <calculatedColumnFormula>VLOOKUP(判定マスタTB[[#This Row],[色番号]],色マスタTB[],2,0)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3C793B-0DC4-411E-AE17-C681F0B09956}" name="色マスタTB" displayName="色マスタTB" ref="K1:L7" totalsRowShown="0">
  <autoFilter ref="K1:L7" xr:uid="{FB3C793B-0DC4-411E-AE17-C681F0B09956}"/>
  <tableColumns count="2">
    <tableColumn id="1" xr3:uid="{2E29A1EC-0020-4205-965B-1A17C4B89092}" name="色番号"/>
    <tableColumn id="2" xr3:uid="{D5CB639F-5D62-4A18-B45B-95ACBE198A60}" name="色"/>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otaff.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oj.go.jp/isa/content/930004953.pdf" TargetMode="External"/><Relationship Id="rId1" Type="http://schemas.openxmlformats.org/officeDocument/2006/relationships/hyperlink" Target="https://www.moj.go.jp/isa/content/930004952.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92BE-4749-4C20-916F-60D1B8D53578}">
  <sheetPr codeName="Sheet1">
    <pageSetUpPr fitToPage="1"/>
  </sheetPr>
  <dimension ref="A1:Q83"/>
  <sheetViews>
    <sheetView zoomScaleNormal="100" zoomScaleSheetLayoutView="100" workbookViewId="0">
      <selection sqref="A1:J1"/>
    </sheetView>
  </sheetViews>
  <sheetFormatPr defaultColWidth="9" defaultRowHeight="16.5"/>
  <cols>
    <col min="1" max="1" width="2.75" style="2" customWidth="1"/>
    <col min="2" max="2" width="11.125" style="2" customWidth="1"/>
    <col min="3" max="3" width="15.5" style="2" customWidth="1"/>
    <col min="4" max="4" width="15.25" style="2" customWidth="1"/>
    <col min="5" max="5" width="5.625" style="2" customWidth="1"/>
    <col min="6" max="6" width="3.125" style="2" customWidth="1"/>
    <col min="7" max="7" width="4" style="2" customWidth="1"/>
    <col min="8" max="8" width="9.625" style="2" customWidth="1"/>
    <col min="9" max="9" width="22" style="2" customWidth="1"/>
    <col min="10" max="10" width="55.25" style="2" customWidth="1"/>
    <col min="11" max="11" width="12.5" style="2" bestFit="1" customWidth="1"/>
    <col min="12" max="12" width="10.625" style="2" bestFit="1" customWidth="1"/>
    <col min="13" max="16" width="9" style="2"/>
    <col min="17" max="17" width="19.125" style="2" customWidth="1"/>
    <col min="18" max="18" width="10.625" style="2" bestFit="1" customWidth="1"/>
    <col min="19" max="16384" width="9" style="2"/>
  </cols>
  <sheetData>
    <row r="1" spans="1:10" ht="21.75" customHeight="1">
      <c r="A1" s="188" t="s">
        <v>0</v>
      </c>
      <c r="B1" s="188"/>
      <c r="C1" s="188"/>
      <c r="D1" s="188"/>
      <c r="E1" s="188"/>
      <c r="F1" s="188"/>
      <c r="G1" s="188"/>
      <c r="H1" s="188"/>
      <c r="I1" s="188"/>
      <c r="J1" s="188"/>
    </row>
    <row r="2" spans="1:10">
      <c r="A2" s="200" t="s">
        <v>1</v>
      </c>
      <c r="B2" s="200"/>
      <c r="C2" s="200"/>
      <c r="D2" s="200"/>
      <c r="E2" s="200"/>
      <c r="F2" s="200"/>
      <c r="G2" s="200"/>
      <c r="H2" s="200"/>
      <c r="I2" s="200"/>
      <c r="J2" s="200"/>
    </row>
    <row r="3" spans="1:10">
      <c r="A3" s="49" t="s">
        <v>2</v>
      </c>
      <c r="B3" s="50"/>
      <c r="C3" s="50"/>
      <c r="D3" s="50"/>
      <c r="E3" s="50"/>
      <c r="F3" s="50"/>
      <c r="G3" s="50"/>
      <c r="H3" s="50"/>
      <c r="I3" s="50"/>
      <c r="J3" s="50"/>
    </row>
    <row r="4" spans="1:10" ht="20.25" customHeight="1">
      <c r="A4" s="208" t="s">
        <v>3</v>
      </c>
      <c r="B4" s="208"/>
      <c r="C4" s="208"/>
      <c r="D4" s="208"/>
      <c r="E4" s="208"/>
      <c r="F4" s="208"/>
      <c r="G4" s="208"/>
      <c r="H4" s="208"/>
      <c r="I4" s="208"/>
      <c r="J4" s="208"/>
    </row>
    <row r="5" spans="1:10" ht="221.25" customHeight="1">
      <c r="A5" s="209" t="s">
        <v>4</v>
      </c>
      <c r="B5" s="210"/>
      <c r="C5" s="210"/>
      <c r="D5" s="210"/>
      <c r="E5" s="210"/>
      <c r="F5" s="210"/>
      <c r="G5" s="210"/>
      <c r="H5" s="210"/>
      <c r="I5" s="210"/>
      <c r="J5" s="210"/>
    </row>
    <row r="6" spans="1:10" s="1" customFormat="1" ht="32.25" customHeight="1">
      <c r="A6" s="214" t="s">
        <v>5</v>
      </c>
      <c r="B6" s="214"/>
      <c r="C6" s="214"/>
      <c r="D6" s="214"/>
      <c r="E6" s="214"/>
      <c r="F6" s="214"/>
      <c r="G6" s="214"/>
      <c r="H6" s="214"/>
      <c r="I6" s="214"/>
      <c r="J6" s="214"/>
    </row>
    <row r="7" spans="1:10" s="1" customFormat="1" ht="11.25" customHeight="1">
      <c r="A7" s="47"/>
      <c r="B7" s="48"/>
      <c r="C7" s="48"/>
      <c r="D7" s="48"/>
      <c r="E7" s="48"/>
      <c r="F7" s="48"/>
      <c r="G7" s="48"/>
      <c r="H7" s="48"/>
      <c r="I7" s="48"/>
      <c r="J7" s="48"/>
    </row>
    <row r="8" spans="1:10">
      <c r="H8" s="15"/>
      <c r="I8" s="11" t="s">
        <v>6</v>
      </c>
      <c r="J8" s="55">
        <v>45303</v>
      </c>
    </row>
    <row r="9" spans="1:10">
      <c r="A9" s="7" t="s">
        <v>7</v>
      </c>
    </row>
    <row r="10" spans="1:10" ht="24" customHeight="1">
      <c r="B10" s="192" t="s">
        <v>8</v>
      </c>
      <c r="C10" s="192"/>
      <c r="D10" s="201" t="s">
        <v>9</v>
      </c>
      <c r="E10" s="202"/>
      <c r="F10" s="202"/>
      <c r="G10" s="202"/>
      <c r="H10" s="202"/>
      <c r="I10" s="202"/>
      <c r="J10" s="203"/>
    </row>
    <row r="11" spans="1:10" ht="24" customHeight="1">
      <c r="B11" s="192" t="s">
        <v>10</v>
      </c>
      <c r="C11" s="204"/>
      <c r="D11" s="205">
        <v>32874</v>
      </c>
      <c r="E11" s="206"/>
      <c r="F11" s="206"/>
      <c r="G11" s="206"/>
      <c r="H11" s="206"/>
      <c r="I11" s="206"/>
      <c r="J11" s="207"/>
    </row>
    <row r="12" spans="1:10" ht="24.75" customHeight="1">
      <c r="B12" s="192" t="s">
        <v>11</v>
      </c>
      <c r="C12" s="192"/>
      <c r="D12" s="201" t="s">
        <v>12</v>
      </c>
      <c r="E12" s="202"/>
      <c r="F12" s="202"/>
      <c r="G12" s="202"/>
      <c r="H12" s="202"/>
      <c r="I12" s="202"/>
      <c r="J12" s="203"/>
    </row>
    <row r="13" spans="1:10" ht="10.5" customHeight="1"/>
    <row r="14" spans="1:10" ht="16.5" customHeight="1">
      <c r="A14" s="7" t="s">
        <v>13</v>
      </c>
      <c r="B14" s="7" t="s">
        <v>14</v>
      </c>
      <c r="C14" s="7"/>
      <c r="D14" s="7"/>
      <c r="E14" s="7"/>
      <c r="F14" s="7"/>
      <c r="G14" s="7"/>
      <c r="H14" s="7"/>
      <c r="I14" s="7"/>
    </row>
    <row r="15" spans="1:10" ht="24" customHeight="1">
      <c r="B15" s="9"/>
      <c r="D15" s="21">
        <v>43922</v>
      </c>
      <c r="E15" s="2" t="s">
        <v>15</v>
      </c>
    </row>
    <row r="16" spans="1:10" ht="18" customHeight="1">
      <c r="C16" s="11" t="s">
        <v>16</v>
      </c>
      <c r="D16" s="53">
        <f>EDATE(D15,60)</f>
        <v>45748</v>
      </c>
      <c r="E16" s="36" t="s">
        <v>17</v>
      </c>
      <c r="F16" s="15"/>
      <c r="G16" s="15"/>
      <c r="H16" s="15"/>
      <c r="I16" s="35"/>
    </row>
    <row r="17" spans="1:12" ht="18" customHeight="1">
      <c r="C17" s="11" t="s">
        <v>18</v>
      </c>
      <c r="D17" s="54" t="str">
        <f>DATEDIF($D$72,$D$16,"y")&amp;"年"&amp;DATEDIF($D$72,$D$16,"ym")&amp;"ヶ月"&amp;DATEDIF($D$72,$D$16,"md")&amp;"日"</f>
        <v>1年2ヶ月20日</v>
      </c>
      <c r="E17" s="36" t="s">
        <v>17</v>
      </c>
      <c r="F17" s="15"/>
      <c r="G17" s="15"/>
      <c r="H17" s="15"/>
      <c r="I17" s="35"/>
    </row>
    <row r="18" spans="1:12" ht="18" customHeight="1">
      <c r="C18" s="11"/>
      <c r="D18" s="11"/>
      <c r="F18" s="15"/>
      <c r="G18" s="15"/>
      <c r="H18" s="15"/>
      <c r="I18" s="35"/>
    </row>
    <row r="19" spans="1:12">
      <c r="A19" s="7" t="s">
        <v>19</v>
      </c>
      <c r="B19" s="7"/>
    </row>
    <row r="20" spans="1:12" ht="26.25" customHeight="1">
      <c r="B20" s="2" t="s">
        <v>20</v>
      </c>
      <c r="C20" s="2" t="s">
        <v>21</v>
      </c>
      <c r="D20" s="5">
        <v>44863</v>
      </c>
      <c r="E20" s="1" t="s">
        <v>15</v>
      </c>
      <c r="G20" s="12"/>
    </row>
    <row r="21" spans="1:12" ht="26.25" customHeight="1">
      <c r="B21" s="2" t="s">
        <v>22</v>
      </c>
      <c r="C21" s="2" t="s">
        <v>23</v>
      </c>
      <c r="D21" s="5">
        <v>44926</v>
      </c>
      <c r="E21" s="1" t="s">
        <v>15</v>
      </c>
      <c r="F21" s="11"/>
      <c r="G21" s="12"/>
      <c r="J21" s="22"/>
    </row>
    <row r="22" spans="1:12" ht="26.25" customHeight="1">
      <c r="B22" s="2" t="s">
        <v>24</v>
      </c>
      <c r="C22" s="2" t="s">
        <v>25</v>
      </c>
      <c r="D22" s="58" t="str">
        <f>DATEDIF($D$20,$D$21+1,"y")&amp;"年"&amp;DATEDIF($D$20,$D$21+1,"Yｍ")&amp;"ヶ月"&amp;DATEDIF($D$20,$D$21+1,"MD")&amp;"日"</f>
        <v>0年2ヶ月3日</v>
      </c>
      <c r="E22" s="1"/>
      <c r="F22" s="11"/>
      <c r="G22" s="12"/>
      <c r="J22" s="22"/>
    </row>
    <row r="23" spans="1:12" ht="26.25" customHeight="1">
      <c r="D23" s="58"/>
      <c r="E23" s="1"/>
      <c r="F23" s="11"/>
      <c r="G23" s="12"/>
      <c r="J23" s="22"/>
    </row>
    <row r="24" spans="1:12" ht="26.25" customHeight="1">
      <c r="B24" s="2" t="s">
        <v>26</v>
      </c>
      <c r="C24" s="2" t="s">
        <v>21</v>
      </c>
      <c r="D24" s="5">
        <v>44936</v>
      </c>
      <c r="E24" s="1"/>
      <c r="F24" s="11"/>
      <c r="G24" s="12"/>
      <c r="J24" s="22"/>
    </row>
    <row r="25" spans="1:12" ht="26.25" customHeight="1">
      <c r="B25" s="2" t="s">
        <v>27</v>
      </c>
      <c r="C25" s="2" t="s">
        <v>23</v>
      </c>
      <c r="D25" s="5">
        <v>45230</v>
      </c>
      <c r="E25" s="1"/>
      <c r="F25" s="11"/>
      <c r="G25" s="12"/>
      <c r="J25" s="22"/>
    </row>
    <row r="26" spans="1:12" ht="26.25" customHeight="1">
      <c r="B26" s="2" t="s">
        <v>28</v>
      </c>
      <c r="C26" s="2" t="s">
        <v>25</v>
      </c>
      <c r="D26" s="58" t="str">
        <f>DATEDIF($D$24,$D$25+1,"y")&amp;"年"&amp;DATEDIF($D$24,$D$25+1,"Yｍ")&amp;"ヶ月"&amp;DATEDIF($D$24,$D$25+1,"MD")&amp;"日"</f>
        <v>0年9ヶ月22日</v>
      </c>
      <c r="E26" s="1"/>
      <c r="F26" s="11"/>
      <c r="G26" s="12"/>
      <c r="J26" s="22"/>
    </row>
    <row r="27" spans="1:12" ht="26.25" customHeight="1">
      <c r="B27" s="2" t="s">
        <v>29</v>
      </c>
      <c r="C27" s="2" t="s">
        <v>21</v>
      </c>
      <c r="D27" s="5">
        <v>45231</v>
      </c>
      <c r="E27" s="1"/>
      <c r="F27" s="11"/>
      <c r="G27" s="12"/>
      <c r="J27" s="22"/>
    </row>
    <row r="28" spans="1:12" ht="26.25" customHeight="1">
      <c r="B28" s="2" t="s">
        <v>30</v>
      </c>
      <c r="C28" s="2" t="s">
        <v>23</v>
      </c>
      <c r="D28" s="5">
        <v>45303</v>
      </c>
      <c r="E28" s="1"/>
      <c r="F28" s="11"/>
      <c r="G28" s="12"/>
      <c r="J28" s="22"/>
    </row>
    <row r="29" spans="1:12" ht="26.25" customHeight="1">
      <c r="B29" s="2" t="s">
        <v>31</v>
      </c>
      <c r="C29" s="2" t="s">
        <v>25</v>
      </c>
      <c r="D29" s="58" t="str">
        <f>DATEDIF($D$27,$D$28+1,"y")&amp;"年"&amp;DATEDIF($D$27,$D$28+1,"Yｍ")&amp;"ヶ月"&amp;DATEDIF($D$27,$D$28+1,"MD")&amp;"日"</f>
        <v>0年2ヶ月12日</v>
      </c>
      <c r="E29" s="1"/>
      <c r="F29" s="11"/>
      <c r="G29" s="12"/>
      <c r="J29" s="22"/>
    </row>
    <row r="30" spans="1:12" ht="12.75" customHeight="1" thickBot="1">
      <c r="D30" s="37"/>
      <c r="F30" s="11"/>
      <c r="G30" s="12"/>
    </row>
    <row r="31" spans="1:12" ht="33.75" customHeight="1" thickBot="1">
      <c r="B31" s="15" t="s">
        <v>32</v>
      </c>
      <c r="C31" s="3"/>
      <c r="D31" s="57" t="str">
        <f>(DATEDIF($D$20,$D$21+1,"y")+DATEDIF(D24,D25+1,"y")+DATEDIF($D$27,$D$28+1,"y"))&amp;"年"&amp;(DATEDIF($D$20,$D$21+1,"ym")+DATEDIF(D24,D25+1,"ym")+DATEDIF($D$27,$D$28+1,"ym"))&amp;"ヶ月"&amp;(DATEDIF($D$20,$D$21+1,"md")+DATEDIF(D24,D25+1,"md")+DATEDIF($D$27,$D$28+1,"md"))&amp;"日"</f>
        <v>0年13ヶ月37日</v>
      </c>
      <c r="E31" s="20" t="s">
        <v>17</v>
      </c>
      <c r="F31" s="11"/>
      <c r="G31" s="211" t="s">
        <v>33</v>
      </c>
      <c r="H31" s="211"/>
      <c r="I31" s="212" t="str">
        <f>IF(DATEDIF($D$20,$D$21+1,"y")&gt;=2,"実務経験要件を満たしています。⑤へ進んでください","実務経験期間が短いです。あなたの在留資格が特定技能１号の場合、経過措置の対象か判定しますので、④に進んでください。特定技能1号以外の在留資格の人は、実務経験に係る誓約書を入力して下さい")</f>
        <v>実務経験期間が短いです。あなたの在留資格が特定技能１号の場合、経過措置の対象か判定しますので、④に進んでください。特定技能1号以外の在留資格の人は、実務経験に係る誓約書を入力して下さい</v>
      </c>
      <c r="J31" s="212"/>
      <c r="L31" s="2">
        <f>D2</f>
        <v>0</v>
      </c>
    </row>
    <row r="32" spans="1:12" ht="33.75" customHeight="1">
      <c r="B32" s="15"/>
      <c r="C32" s="3"/>
      <c r="D32" s="59"/>
      <c r="E32" s="20"/>
      <c r="F32" s="11"/>
      <c r="G32" s="46"/>
      <c r="H32" s="46"/>
      <c r="I32" s="24"/>
      <c r="J32" s="24"/>
    </row>
    <row r="33" spans="1:17" ht="33.75" customHeight="1">
      <c r="B33" s="15"/>
      <c r="C33" s="3"/>
      <c r="D33" s="59"/>
      <c r="E33" s="20"/>
      <c r="F33" s="11"/>
      <c r="G33" s="46"/>
      <c r="H33" s="46"/>
      <c r="I33" s="24"/>
      <c r="J33" s="24"/>
    </row>
    <row r="34" spans="1:17" ht="15.75" customHeight="1">
      <c r="I34" s="192"/>
      <c r="J34" s="192"/>
    </row>
    <row r="35" spans="1:17" ht="33.75" customHeight="1">
      <c r="A35" s="217" t="s">
        <v>34</v>
      </c>
      <c r="B35" s="217"/>
      <c r="C35" s="217"/>
      <c r="D35" s="217"/>
      <c r="E35" s="217"/>
      <c r="F35" s="217"/>
      <c r="G35" s="217"/>
      <c r="H35" s="217"/>
      <c r="I35" s="217"/>
      <c r="J35" s="217"/>
      <c r="Q35" s="16"/>
    </row>
    <row r="36" spans="1:17" ht="19.5" customHeight="1">
      <c r="A36" s="8"/>
      <c r="B36" s="215" t="s">
        <v>35</v>
      </c>
      <c r="C36" s="216"/>
      <c r="D36" s="216"/>
      <c r="E36" s="216"/>
      <c r="F36" s="216"/>
      <c r="G36" s="216"/>
      <c r="H36" s="216"/>
      <c r="I36" s="216"/>
      <c r="J36" s="216"/>
      <c r="Q36" s="16"/>
    </row>
    <row r="37" spans="1:17" ht="15" customHeight="1">
      <c r="D37" s="10"/>
      <c r="Q37" s="10"/>
    </row>
    <row r="38" spans="1:17" ht="19.5" customHeight="1" thickBot="1">
      <c r="A38" s="8"/>
      <c r="B38" s="213" t="s">
        <v>36</v>
      </c>
      <c r="C38" s="213"/>
      <c r="D38" s="213"/>
      <c r="E38" s="213"/>
      <c r="F38" s="213"/>
      <c r="G38" s="213"/>
      <c r="H38" s="213"/>
      <c r="I38" s="213"/>
      <c r="J38" s="213"/>
      <c r="Q38" s="16"/>
    </row>
    <row r="39" spans="1:17" s="3" customFormat="1" ht="31.5" customHeight="1" thickBot="1">
      <c r="B39" s="188" t="s">
        <v>37</v>
      </c>
      <c r="C39" s="188"/>
      <c r="D39" s="51" t="str">
        <f>IF($D$15="","該当しません",(DATEDIF($D$15,$D$72+1,"y")&amp;"年"&amp;DATEDIF($D$15,$D$72+1,"ym")&amp;"ヶ月"&amp;DATEDIF($D$15,$D$72+1,"ｍd")&amp;"日"))</f>
        <v>3年9ヶ月12日</v>
      </c>
      <c r="E39" s="36" t="s">
        <v>38</v>
      </c>
      <c r="H39" s="52" t="s">
        <v>33</v>
      </c>
      <c r="I39" s="192" t="str">
        <f>IF(DATEDIF($D$15,$D$72,"ｍ")&gt;=30,"条件aに該当","経過措置条件を満たしていません")</f>
        <v>条件aに該当</v>
      </c>
      <c r="J39" s="192"/>
      <c r="Q39" s="29"/>
    </row>
    <row r="40" spans="1:17" ht="21.75" customHeight="1">
      <c r="B40" s="15"/>
      <c r="C40" s="15"/>
      <c r="D40" s="35"/>
      <c r="G40" s="34"/>
      <c r="H40" s="34"/>
      <c r="Q40" s="10"/>
    </row>
    <row r="41" spans="1:17" ht="19.5" customHeight="1" thickBot="1">
      <c r="B41" s="193" t="s">
        <v>39</v>
      </c>
      <c r="C41" s="193"/>
      <c r="D41" s="193"/>
      <c r="E41" s="193"/>
      <c r="F41" s="193"/>
      <c r="G41" s="193"/>
      <c r="H41" s="193"/>
      <c r="I41" s="193"/>
      <c r="J41" s="193"/>
      <c r="Q41" s="17"/>
    </row>
    <row r="42" spans="1:17" ht="24" customHeight="1" thickBot="1">
      <c r="B42" s="15" t="s">
        <v>40</v>
      </c>
      <c r="D42" s="45" t="str">
        <f>DATEDIF($D$72,$D$16-180,"y")&amp;"年"&amp;DATEDIF($D$72,$D$16-180,"ym")&amp;"ヶ月"&amp;DATEDIF($D$72,$D$16-180,"md")&amp;"日"</f>
        <v>0年8ヶ月21日</v>
      </c>
      <c r="E42" s="20" t="s">
        <v>38</v>
      </c>
      <c r="F42" s="3"/>
      <c r="H42" s="24"/>
      <c r="I42" s="193"/>
      <c r="J42" s="193"/>
      <c r="K42" s="18"/>
      <c r="M42" s="18"/>
      <c r="N42" s="19"/>
      <c r="O42" s="18"/>
      <c r="P42" s="18"/>
    </row>
    <row r="43" spans="1:17" ht="23.25" customHeight="1" thickBot="1">
      <c r="B43" s="15" t="s">
        <v>41</v>
      </c>
      <c r="D43" s="44" t="str">
        <f>IF($D$15="","該当しません",DATEDIF($D$20,$D$21+1,"y")&amp;"年"&amp;DATEDIF($D$20,$D$21+1,"ym")&amp;"ヶ月"&amp;DATEDIF($D$20,$D$21+1,"md")&amp;"日")</f>
        <v>0年2ヶ月3日</v>
      </c>
      <c r="E43" s="20" t="s">
        <v>38</v>
      </c>
      <c r="F43" s="11"/>
      <c r="H43" s="46" t="s">
        <v>33</v>
      </c>
      <c r="I43" s="192" t="str">
        <f>IF(D43&gt;=D42,"条件bに該当","経過措置条件を満たしていません。")</f>
        <v>経過措置条件を満たしていません。</v>
      </c>
      <c r="J43" s="192"/>
      <c r="K43" s="18"/>
      <c r="L43" s="43"/>
      <c r="M43" s="18"/>
      <c r="N43" s="19"/>
      <c r="O43" s="18"/>
      <c r="P43" s="18"/>
    </row>
    <row r="44" spans="1:17" ht="21.75" customHeight="1">
      <c r="B44" s="15"/>
      <c r="C44" s="11"/>
      <c r="D44" s="11"/>
      <c r="E44" s="20"/>
      <c r="F44" s="3"/>
      <c r="G44" s="15"/>
      <c r="M44" s="18"/>
      <c r="N44" s="19"/>
      <c r="O44" s="18"/>
      <c r="P44" s="18"/>
    </row>
    <row r="45" spans="1:17" ht="42" customHeight="1">
      <c r="B45" s="15"/>
      <c r="D45" s="11"/>
      <c r="F45" s="11"/>
      <c r="G45" s="34"/>
      <c r="H45" s="34" t="s">
        <v>42</v>
      </c>
      <c r="I45" s="193" t="str">
        <f>IF(AND(I39="条件aに該当",I43="条件bに該当"),"④a,bの両条件に該当し、実務期間の経過措置が適応され、実務経験要件を満たしているとみなされ、申請できます→⑤以降を入力して下さい","条件を満たしません")</f>
        <v>条件を満たしません</v>
      </c>
      <c r="J45" s="193"/>
      <c r="K45" s="18"/>
      <c r="L45" s="18"/>
      <c r="M45" s="18"/>
      <c r="N45" s="19"/>
      <c r="O45" s="18"/>
      <c r="P45" s="18"/>
    </row>
    <row r="46" spans="1:17" ht="14.25" customHeight="1">
      <c r="B46" s="15"/>
      <c r="D46" s="11"/>
      <c r="F46" s="11"/>
      <c r="G46" s="34"/>
      <c r="H46" s="34"/>
      <c r="I46" s="15"/>
      <c r="J46" s="15"/>
      <c r="K46" s="18"/>
      <c r="L46" s="18"/>
      <c r="M46" s="18"/>
      <c r="N46" s="19"/>
      <c r="O46" s="18"/>
      <c r="P46" s="18"/>
    </row>
    <row r="47" spans="1:17" ht="21.75" customHeight="1">
      <c r="B47" s="199" t="s">
        <v>43</v>
      </c>
      <c r="C47" s="199"/>
      <c r="D47" s="199"/>
      <c r="E47" s="199"/>
      <c r="F47" s="199"/>
      <c r="G47" s="199"/>
      <c r="H47" s="199"/>
      <c r="I47" s="199"/>
      <c r="J47" s="199"/>
      <c r="K47" s="18"/>
      <c r="L47" s="18"/>
      <c r="M47" s="18"/>
      <c r="N47" s="19"/>
      <c r="O47" s="18"/>
      <c r="P47" s="18"/>
    </row>
    <row r="48" spans="1:17" ht="21.75" customHeight="1">
      <c r="B48" s="199" t="s">
        <v>44</v>
      </c>
      <c r="C48" s="199"/>
      <c r="D48" s="199"/>
      <c r="E48" s="199"/>
      <c r="F48" s="199"/>
      <c r="G48" s="199"/>
      <c r="H48" s="199"/>
      <c r="I48" s="199"/>
      <c r="J48" s="199"/>
      <c r="K48" s="18"/>
      <c r="L48" s="18"/>
      <c r="M48" s="18"/>
      <c r="N48" s="19"/>
      <c r="O48" s="18"/>
      <c r="P48" s="18"/>
    </row>
    <row r="49" spans="1:13" ht="15.75" hidden="1" customHeight="1">
      <c r="G49" s="4"/>
      <c r="J49" s="38" t="s">
        <v>45</v>
      </c>
      <c r="L49" s="13"/>
      <c r="M49" s="14"/>
    </row>
    <row r="50" spans="1:13" ht="20.25" hidden="1" thickBot="1">
      <c r="A50" s="7" t="s">
        <v>46</v>
      </c>
      <c r="B50" s="7" t="s">
        <v>47</v>
      </c>
      <c r="D50" s="3"/>
      <c r="E50" s="3"/>
      <c r="F50" s="3"/>
      <c r="G50" s="3"/>
      <c r="H50" s="3"/>
      <c r="J50" s="39" t="s">
        <v>48</v>
      </c>
      <c r="L50" s="13"/>
      <c r="M50" s="14"/>
    </row>
    <row r="51" spans="1:13" ht="21" hidden="1" thickTop="1" thickBot="1">
      <c r="B51" s="193" t="s">
        <v>49</v>
      </c>
      <c r="C51" s="193"/>
      <c r="D51" s="26">
        <f>D15</f>
        <v>43922</v>
      </c>
      <c r="E51" s="2" t="s">
        <v>50</v>
      </c>
      <c r="F51" s="3"/>
      <c r="G51" s="3"/>
      <c r="H51" s="3"/>
      <c r="J51" s="40">
        <f>EDATE($D$15,60)</f>
        <v>45748</v>
      </c>
      <c r="L51" s="13"/>
      <c r="M51" s="14"/>
    </row>
    <row r="52" spans="1:13" ht="31.5" hidden="1" customHeight="1" thickTop="1" thickBot="1">
      <c r="A52" s="7"/>
      <c r="B52" s="193"/>
      <c r="C52" s="193"/>
      <c r="D52" s="25"/>
      <c r="E52" s="3"/>
      <c r="F52" s="3"/>
      <c r="G52" s="3"/>
      <c r="H52" s="3"/>
      <c r="J52" s="39" t="s">
        <v>51</v>
      </c>
      <c r="L52" s="13"/>
      <c r="M52" s="14"/>
    </row>
    <row r="53" spans="1:13" ht="21" hidden="1" thickTop="1" thickBot="1">
      <c r="A53" s="7"/>
      <c r="B53" s="2" t="s">
        <v>52</v>
      </c>
      <c r="D53" s="26">
        <f>D72</f>
        <v>45303</v>
      </c>
      <c r="E53" s="2" t="s">
        <v>53</v>
      </c>
      <c r="F53" s="3"/>
      <c r="G53" s="3"/>
      <c r="H53" s="3"/>
      <c r="J53" s="41">
        <v>45087</v>
      </c>
      <c r="L53" s="30"/>
      <c r="M53" s="14"/>
    </row>
    <row r="54" spans="1:13" ht="9.75" hidden="1" customHeight="1" thickTop="1" thickBot="1">
      <c r="A54" s="7"/>
      <c r="B54" s="2" t="s">
        <v>54</v>
      </c>
      <c r="D54" s="27" t="str">
        <f>DATEDIF($J$53,$J$51,"Y")&amp;"年"&amp;DATEDIF($J$53,$J$51,"YM")&amp;"ヶ月"&amp;DATEDIF($J$53,$J$51,"MD")&amp;"日"</f>
        <v>1年9ヶ月22日</v>
      </c>
      <c r="E54" s="2" t="s">
        <v>55</v>
      </c>
      <c r="F54" s="3"/>
      <c r="G54" s="188" t="s">
        <v>33</v>
      </c>
      <c r="H54" s="188"/>
      <c r="I54" s="188" t="str">
        <f>IF(DATEDIF($D$51,$D$53,"YM")&gt;2,(IF(DATEDIF($D$51,$D$53,"YM")&gt;=6,"OK","NG")),"NG")</f>
        <v>OK</v>
      </c>
      <c r="J54" s="188" t="e">
        <f t="shared" ref="J54" si="0">IF(DATEDIF($D$51,$D$53,"YM")&gt;2,(IF(DATEDIF($D$51,$D54,"YM")&gt;=6,"OK","NG")),"NG")</f>
        <v>#VALUE!</v>
      </c>
      <c r="L54" s="188"/>
      <c r="M54" s="188"/>
    </row>
    <row r="55" spans="1:13" ht="11.25" hidden="1" customHeight="1" thickTop="1">
      <c r="A55" s="7"/>
      <c r="B55" s="7"/>
      <c r="D55" s="3"/>
      <c r="E55" s="3"/>
      <c r="F55" s="3"/>
      <c r="G55" s="3"/>
      <c r="H55" s="3"/>
      <c r="I55" s="188"/>
      <c r="J55" s="188"/>
      <c r="L55" s="13"/>
      <c r="M55" s="14"/>
    </row>
    <row r="56" spans="1:13" ht="20.25" hidden="1" thickBot="1">
      <c r="A56" s="7" t="s">
        <v>56</v>
      </c>
      <c r="B56" s="7"/>
      <c r="D56" s="3"/>
      <c r="E56" s="3"/>
      <c r="F56" s="3"/>
      <c r="G56" s="3"/>
      <c r="H56" s="3"/>
      <c r="J56" s="42"/>
      <c r="L56" s="13"/>
      <c r="M56" s="14"/>
    </row>
    <row r="57" spans="1:13" ht="20.25" hidden="1" thickBot="1">
      <c r="A57" s="7"/>
      <c r="B57" s="2" t="s">
        <v>57</v>
      </c>
      <c r="D57" s="28" t="str">
        <f>YEAR(D21)&amp;"/"&amp;MONTH(D21)</f>
        <v>2022/12</v>
      </c>
      <c r="E57" s="2" t="s">
        <v>58</v>
      </c>
      <c r="F57" s="3"/>
      <c r="G57" s="3"/>
      <c r="H57" s="3"/>
      <c r="J57" s="42"/>
      <c r="L57" s="13"/>
      <c r="M57" s="14"/>
    </row>
    <row r="58" spans="1:13" ht="20.25" hidden="1" thickBot="1">
      <c r="A58" s="7"/>
      <c r="B58" s="2" t="s">
        <v>59</v>
      </c>
      <c r="D58" s="33">
        <v>44805</v>
      </c>
      <c r="E58" s="2" t="s">
        <v>60</v>
      </c>
      <c r="F58" s="3"/>
      <c r="G58" s="3"/>
      <c r="H58" s="3"/>
      <c r="J58" s="42"/>
      <c r="L58" s="13"/>
      <c r="M58" s="14"/>
    </row>
    <row r="59" spans="1:13" ht="13.5" hidden="1" customHeight="1" thickBot="1">
      <c r="A59" s="7"/>
      <c r="B59" s="2" t="s">
        <v>61</v>
      </c>
      <c r="D59" s="28" t="str">
        <f>DATEDIF(D58,D57,"Y")&amp;"年"&amp;DATEDIF(D58,D57,"YM")&amp;"ヶ月"</f>
        <v>0年3ヶ月</v>
      </c>
      <c r="E59" s="3"/>
      <c r="F59" s="3"/>
      <c r="G59" s="188" t="s">
        <v>33</v>
      </c>
      <c r="H59" s="188"/>
      <c r="I59" s="188" t="str">
        <f>IF(DATEDIF($D$58,$D$57,"YM")&gt;=6,"条件を満たしません","条件を満たします")</f>
        <v>条件を満たします</v>
      </c>
      <c r="J59" s="188"/>
      <c r="L59" s="13"/>
      <c r="M59" s="14"/>
    </row>
    <row r="60" spans="1:13" ht="12.75" customHeight="1">
      <c r="A60" s="7"/>
      <c r="D60" s="3"/>
      <c r="E60" s="3"/>
      <c r="F60" s="3"/>
      <c r="G60" s="3"/>
      <c r="H60" s="3"/>
      <c r="I60" s="3"/>
      <c r="J60" s="3"/>
      <c r="L60" s="13"/>
      <c r="M60" s="14"/>
    </row>
    <row r="61" spans="1:13" ht="19.5">
      <c r="A61" s="7" t="s">
        <v>62</v>
      </c>
      <c r="B61" s="7"/>
      <c r="D61" s="3"/>
      <c r="E61" s="3"/>
      <c r="F61" s="3"/>
      <c r="G61" s="3"/>
      <c r="H61" s="3"/>
      <c r="J61" s="42"/>
      <c r="L61" s="13"/>
      <c r="M61" s="14"/>
    </row>
    <row r="62" spans="1:13" ht="28.5" customHeight="1">
      <c r="B62" s="189" t="s">
        <v>63</v>
      </c>
      <c r="C62" s="190"/>
      <c r="D62" s="190"/>
      <c r="E62" s="190"/>
      <c r="F62" s="190"/>
      <c r="G62" s="190"/>
      <c r="H62" s="190"/>
      <c r="I62" s="190"/>
      <c r="J62" s="191"/>
    </row>
    <row r="63" spans="1:13" ht="12" customHeight="1">
      <c r="B63" s="3"/>
      <c r="C63" s="3"/>
      <c r="D63" s="3"/>
      <c r="E63" s="3"/>
      <c r="F63" s="3"/>
      <c r="G63" s="3"/>
      <c r="H63" s="3"/>
      <c r="I63" s="3"/>
      <c r="J63" s="3"/>
    </row>
    <row r="64" spans="1:13">
      <c r="A64" s="7" t="s">
        <v>64</v>
      </c>
      <c r="B64" s="7"/>
    </row>
    <row r="65" spans="1:10" ht="38.25" customHeight="1">
      <c r="B65" s="189" t="s">
        <v>65</v>
      </c>
      <c r="C65" s="190"/>
      <c r="D65" s="190"/>
      <c r="E65" s="190"/>
      <c r="F65" s="190"/>
      <c r="G65" s="190"/>
      <c r="H65" s="190"/>
      <c r="I65" s="190"/>
      <c r="J65" s="191"/>
    </row>
    <row r="66" spans="1:10" ht="24" hidden="1" customHeight="1">
      <c r="B66" s="189"/>
      <c r="C66" s="190"/>
      <c r="D66" s="190"/>
      <c r="E66" s="190"/>
      <c r="F66" s="190"/>
      <c r="G66" s="190"/>
      <c r="H66" s="190"/>
      <c r="I66" s="190"/>
      <c r="J66" s="191"/>
    </row>
    <row r="67" spans="1:10" ht="11.25" customHeight="1">
      <c r="B67" s="6"/>
      <c r="C67" s="6"/>
      <c r="D67" s="6"/>
      <c r="E67" s="6"/>
      <c r="F67" s="6"/>
      <c r="G67" s="6"/>
      <c r="H67" s="6"/>
      <c r="I67" s="6"/>
      <c r="J67" s="6"/>
    </row>
    <row r="68" spans="1:10" ht="23.25" customHeight="1">
      <c r="B68" s="198" t="s">
        <v>66</v>
      </c>
      <c r="C68" s="198"/>
      <c r="D68" s="198"/>
      <c r="E68" s="198"/>
      <c r="F68" s="198"/>
      <c r="G68" s="198"/>
      <c r="H68" s="198"/>
      <c r="I68" s="198"/>
      <c r="J68" s="198"/>
    </row>
    <row r="69" spans="1:10" ht="26.25" customHeight="1">
      <c r="B69" s="6" t="s">
        <v>67</v>
      </c>
      <c r="C69" s="6"/>
      <c r="D69" s="23"/>
      <c r="E69" s="6"/>
      <c r="F69" s="6"/>
      <c r="G69" s="6"/>
      <c r="H69" s="6"/>
      <c r="I69" s="6"/>
      <c r="J69" s="6"/>
    </row>
    <row r="70" spans="1:10" ht="18.75" customHeight="1">
      <c r="B70" s="9" t="s">
        <v>68</v>
      </c>
      <c r="C70" s="9"/>
      <c r="D70" s="9"/>
      <c r="E70" s="9"/>
      <c r="F70" s="9"/>
      <c r="G70" s="9"/>
      <c r="H70" s="9"/>
      <c r="I70" s="42"/>
      <c r="J70" s="6"/>
    </row>
    <row r="71" spans="1:10">
      <c r="C71" s="6"/>
    </row>
    <row r="72" spans="1:10" ht="22.5" customHeight="1">
      <c r="A72" s="7" t="s">
        <v>69</v>
      </c>
      <c r="B72" s="7"/>
      <c r="C72" s="6"/>
      <c r="D72" s="56">
        <f>J8</f>
        <v>45303</v>
      </c>
      <c r="E72" s="36" t="s">
        <v>70</v>
      </c>
      <c r="G72" s="9"/>
    </row>
    <row r="73" spans="1:10" ht="14.25" customHeight="1">
      <c r="C73" s="6"/>
      <c r="D73" s="15" t="str">
        <f>IF(D48&gt;=D16,"⑦書類作成日が③管理等実務経験の修了日以前なので、➁か⑦を修正してください。","")</f>
        <v/>
      </c>
    </row>
    <row r="74" spans="1:10">
      <c r="A74" s="7" t="s">
        <v>71</v>
      </c>
      <c r="B74" s="7"/>
    </row>
    <row r="75" spans="1:10" ht="26.25" customHeight="1">
      <c r="B75" s="2" t="s">
        <v>72</v>
      </c>
      <c r="D75" s="197" t="s">
        <v>73</v>
      </c>
      <c r="E75" s="195"/>
      <c r="F75" s="195"/>
      <c r="G75" s="195"/>
      <c r="H75" s="195"/>
      <c r="I75" s="195"/>
      <c r="J75" s="196"/>
    </row>
    <row r="76" spans="1:10" ht="9" customHeight="1">
      <c r="D76" s="15"/>
      <c r="E76" s="31"/>
      <c r="F76" s="31"/>
      <c r="G76" s="31"/>
      <c r="H76" s="31"/>
      <c r="I76" s="31"/>
      <c r="J76" s="31"/>
    </row>
    <row r="77" spans="1:10" ht="25.5" customHeight="1">
      <c r="B77" s="2" t="s">
        <v>74</v>
      </c>
      <c r="D77" s="197" t="s">
        <v>75</v>
      </c>
      <c r="E77" s="195"/>
      <c r="F77" s="195"/>
      <c r="G77" s="195"/>
      <c r="H77" s="195"/>
      <c r="I77" s="195"/>
      <c r="J77" s="196"/>
    </row>
    <row r="78" spans="1:10" ht="9.75" customHeight="1">
      <c r="D78" s="15"/>
      <c r="E78" s="32"/>
      <c r="F78" s="32"/>
      <c r="G78" s="32"/>
      <c r="H78" s="32"/>
      <c r="I78" s="32"/>
      <c r="J78" s="32"/>
    </row>
    <row r="79" spans="1:10" ht="26.25" customHeight="1">
      <c r="B79" s="2" t="s">
        <v>76</v>
      </c>
      <c r="D79" s="197" t="s">
        <v>77</v>
      </c>
      <c r="E79" s="195"/>
      <c r="F79" s="195"/>
      <c r="G79" s="195"/>
      <c r="H79" s="195"/>
      <c r="I79" s="195"/>
      <c r="J79" s="196"/>
    </row>
    <row r="80" spans="1:10" ht="9" customHeight="1">
      <c r="D80" s="15"/>
      <c r="E80" s="32"/>
      <c r="F80" s="32"/>
      <c r="G80" s="32"/>
      <c r="H80" s="32"/>
      <c r="I80" s="32"/>
      <c r="J80" s="32"/>
    </row>
    <row r="81" spans="2:10" ht="22.5" customHeight="1">
      <c r="B81" s="2" t="s">
        <v>78</v>
      </c>
      <c r="C81" s="2" t="s">
        <v>79</v>
      </c>
      <c r="D81" s="197" t="s">
        <v>80</v>
      </c>
      <c r="E81" s="195"/>
      <c r="F81" s="195"/>
      <c r="G81" s="195"/>
      <c r="H81" s="195"/>
      <c r="I81" s="195"/>
      <c r="J81" s="196"/>
    </row>
    <row r="82" spans="2:10" ht="9.75" customHeight="1">
      <c r="D82" s="15"/>
      <c r="E82" s="32"/>
      <c r="F82" s="32"/>
      <c r="G82" s="32"/>
      <c r="H82" s="32"/>
      <c r="I82" s="32"/>
      <c r="J82" s="32"/>
    </row>
    <row r="83" spans="2:10" ht="23.25" customHeight="1">
      <c r="C83" s="2" t="s">
        <v>81</v>
      </c>
      <c r="D83" s="194" t="s">
        <v>82</v>
      </c>
      <c r="E83" s="195"/>
      <c r="F83" s="195"/>
      <c r="G83" s="195"/>
      <c r="H83" s="195"/>
      <c r="I83" s="195"/>
      <c r="J83" s="196"/>
    </row>
  </sheetData>
  <mergeCells count="41">
    <mergeCell ref="G31:H31"/>
    <mergeCell ref="I31:J31"/>
    <mergeCell ref="I34:J34"/>
    <mergeCell ref="B38:J38"/>
    <mergeCell ref="A6:J6"/>
    <mergeCell ref="B12:C12"/>
    <mergeCell ref="D12:J12"/>
    <mergeCell ref="B36:J36"/>
    <mergeCell ref="A35:J35"/>
    <mergeCell ref="A1:J1"/>
    <mergeCell ref="A2:J2"/>
    <mergeCell ref="B10:C10"/>
    <mergeCell ref="D10:J10"/>
    <mergeCell ref="B11:C11"/>
    <mergeCell ref="D11:J11"/>
    <mergeCell ref="A4:J4"/>
    <mergeCell ref="A5:J5"/>
    <mergeCell ref="B39:C39"/>
    <mergeCell ref="I39:J39"/>
    <mergeCell ref="B41:J41"/>
    <mergeCell ref="D83:J83"/>
    <mergeCell ref="B66:J66"/>
    <mergeCell ref="D75:J75"/>
    <mergeCell ref="D77:J77"/>
    <mergeCell ref="D79:J79"/>
    <mergeCell ref="D81:J81"/>
    <mergeCell ref="B68:J68"/>
    <mergeCell ref="B51:C52"/>
    <mergeCell ref="I43:J43"/>
    <mergeCell ref="B47:J47"/>
    <mergeCell ref="B48:J48"/>
    <mergeCell ref="I45:J45"/>
    <mergeCell ref="I42:J42"/>
    <mergeCell ref="L54:M54"/>
    <mergeCell ref="G59:H59"/>
    <mergeCell ref="I59:J59"/>
    <mergeCell ref="B62:J62"/>
    <mergeCell ref="B65:J65"/>
    <mergeCell ref="I55:J55"/>
    <mergeCell ref="G54:H54"/>
    <mergeCell ref="I54:J54"/>
  </mergeCells>
  <phoneticPr fontId="1"/>
  <conditionalFormatting sqref="D73">
    <cfRule type="containsText" dxfId="72" priority="2" operator="containsText" text="修正">
      <formula>NOT(ISERROR(SEARCH("修正",D73)))</formula>
    </cfRule>
  </conditionalFormatting>
  <conditionalFormatting sqref="I39:I40">
    <cfRule type="containsText" dxfId="71" priority="7" operator="containsText" text="対象外">
      <formula>NOT(ISERROR(SEARCH("対象外",I39)))</formula>
    </cfRule>
    <cfRule type="containsText" dxfId="70" priority="8" operator="containsText" text="該当">
      <formula>NOT(ISERROR(SEARCH("該当",I39)))</formula>
    </cfRule>
  </conditionalFormatting>
  <conditionalFormatting sqref="I43 K44 I45:J46">
    <cfRule type="containsText" dxfId="69" priority="12" operator="containsText" text="該当">
      <formula>NOT(ISERROR(SEARCH("該当",I43)))</formula>
    </cfRule>
    <cfRule type="containsText" dxfId="68" priority="13" operator="containsText" text="満たし">
      <formula>NOT(ISERROR(SEARCH("満たし",I43)))</formula>
    </cfRule>
  </conditionalFormatting>
  <conditionalFormatting sqref="I54">
    <cfRule type="containsText" dxfId="67" priority="16" operator="containsText" text="超え">
      <formula>NOT(ISERROR(SEARCH("超え",I54)))</formula>
    </cfRule>
  </conditionalFormatting>
  <conditionalFormatting sqref="I31:J33">
    <cfRule type="containsText" dxfId="66" priority="14" operator="containsText" text="誓約書">
      <formula>NOT(ISERROR(SEARCH("誓約書",I31)))</formula>
    </cfRule>
    <cfRule type="containsText" dxfId="65" priority="15" operator="containsText" text="満た">
      <formula>NOT(ISERROR(SEARCH("満た",I31)))</formula>
    </cfRule>
  </conditionalFormatting>
  <conditionalFormatting sqref="I59:J60">
    <cfRule type="containsText" dxfId="64" priority="10" operator="containsText" text="判定">
      <formula>NOT(ISERROR(SEARCH("判定",I59)))</formula>
    </cfRule>
    <cfRule type="containsText" dxfId="63" priority="11" operator="containsText" text="満た">
      <formula>NOT(ISERROR(SEARCH("満た",I59)))</formula>
    </cfRule>
  </conditionalFormatting>
  <conditionalFormatting sqref="J21:J29">
    <cfRule type="containsText" dxfId="62" priority="1" operator="containsText" text="無効">
      <formula>NOT(ISERROR(SEARCH("無効",J21)))</formula>
    </cfRule>
  </conditionalFormatting>
  <conditionalFormatting sqref="L54">
    <cfRule type="containsText" dxfId="61" priority="9" operator="containsText" text="超え">
      <formula>NOT(ISERROR(SEARCH("超え",L54)))</formula>
    </cfRule>
  </conditionalFormatting>
  <hyperlinks>
    <hyperlink ref="D83" r:id="rId1" xr:uid="{2289997B-4CF7-4252-AC87-AC9B4096A555}"/>
  </hyperlinks>
  <pageMargins left="0.7" right="0.7" top="0.75" bottom="0.75" header="0.3" footer="0.3"/>
  <pageSetup paperSize="9" scale="43"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A5F54-02D1-4710-97AD-BFE52025C68E}">
  <sheetPr codeName="Sheet2">
    <pageSetUpPr fitToPage="1"/>
  </sheetPr>
  <dimension ref="A1:Q109"/>
  <sheetViews>
    <sheetView showGridLines="0" tabSelected="1" topLeftCell="A30" zoomScaleNormal="100" zoomScaleSheetLayoutView="100" workbookViewId="0">
      <selection activeCell="D91" sqref="D91:J91"/>
    </sheetView>
  </sheetViews>
  <sheetFormatPr defaultColWidth="12.625" defaultRowHeight="30"/>
  <cols>
    <col min="1" max="1" width="2.75" style="2" customWidth="1"/>
    <col min="2" max="2" width="9.5" style="2" customWidth="1"/>
    <col min="3" max="3" width="29.375" style="2" customWidth="1"/>
    <col min="4" max="4" width="15.25" style="2" customWidth="1"/>
    <col min="5" max="6" width="4.625" style="2" customWidth="1"/>
    <col min="7" max="7" width="10.5" style="2" customWidth="1"/>
    <col min="8" max="8" width="5.625" style="2" customWidth="1"/>
    <col min="9" max="9" width="22" style="2" customWidth="1"/>
    <col min="10" max="10" width="50.5" style="2" customWidth="1"/>
    <col min="11" max="12" width="2.625" customWidth="1"/>
    <col min="13" max="13" width="5.625" style="88" customWidth="1"/>
    <col min="14" max="14" width="25.375" style="90" customWidth="1"/>
    <col min="15" max="15" width="12.625" style="92" customWidth="1"/>
    <col min="16" max="16" width="29.875" customWidth="1"/>
  </cols>
  <sheetData>
    <row r="1" spans="1:15" ht="31.5" customHeight="1">
      <c r="A1" s="222" t="s">
        <v>83</v>
      </c>
      <c r="B1" s="222"/>
      <c r="C1" s="222"/>
      <c r="D1" s="222"/>
      <c r="E1" s="222"/>
      <c r="F1" s="222"/>
      <c r="G1" s="222"/>
      <c r="H1" s="222"/>
      <c r="I1" s="222"/>
      <c r="J1" s="222"/>
    </row>
    <row r="2" spans="1:15">
      <c r="A2" s="49"/>
      <c r="B2" s="50"/>
      <c r="C2" s="50"/>
      <c r="D2" s="50"/>
      <c r="E2" s="50"/>
      <c r="F2" s="50"/>
      <c r="G2" s="50"/>
      <c r="H2" s="50"/>
      <c r="I2" s="50"/>
      <c r="J2" s="50" t="s">
        <v>84</v>
      </c>
    </row>
    <row r="3" spans="1:15" ht="20.85" customHeight="1">
      <c r="A3" s="217" t="s">
        <v>85</v>
      </c>
      <c r="B3" s="217"/>
      <c r="C3" s="217"/>
      <c r="D3" s="217"/>
      <c r="E3" s="217"/>
      <c r="F3" s="217"/>
      <c r="G3" s="217"/>
      <c r="H3" s="217"/>
      <c r="I3" s="217"/>
      <c r="J3" s="217"/>
    </row>
    <row r="4" spans="1:15" ht="67.5" customHeight="1">
      <c r="A4" s="61"/>
      <c r="B4" s="255" t="s">
        <v>86</v>
      </c>
      <c r="C4" s="255"/>
      <c r="D4" s="255"/>
      <c r="E4" s="255"/>
      <c r="F4" s="255"/>
      <c r="G4" s="255"/>
      <c r="H4" s="255"/>
      <c r="I4" s="255"/>
      <c r="J4" s="255"/>
    </row>
    <row r="5" spans="1:15" ht="75" customHeight="1">
      <c r="A5" s="61"/>
      <c r="B5" s="63" t="s">
        <v>87</v>
      </c>
      <c r="C5" s="255" t="s">
        <v>88</v>
      </c>
      <c r="D5" s="255"/>
      <c r="E5" s="255"/>
      <c r="F5" s="255"/>
      <c r="G5" s="255"/>
      <c r="H5" s="255"/>
      <c r="I5" s="255"/>
      <c r="J5" s="255"/>
    </row>
    <row r="6" spans="1:15" ht="24" customHeight="1">
      <c r="A6" s="217" t="s">
        <v>89</v>
      </c>
      <c r="B6" s="217"/>
      <c r="C6" s="217"/>
      <c r="D6" s="217"/>
      <c r="E6" s="217"/>
      <c r="F6" s="217"/>
      <c r="G6" s="217"/>
      <c r="H6" s="217"/>
      <c r="I6" s="217"/>
      <c r="J6" s="217"/>
    </row>
    <row r="7" spans="1:15" ht="50.25" customHeight="1">
      <c r="A7" s="64"/>
      <c r="B7" s="255" t="s">
        <v>90</v>
      </c>
      <c r="C7" s="255"/>
      <c r="D7" s="255"/>
      <c r="E7" s="255"/>
      <c r="F7" s="255"/>
      <c r="G7" s="255"/>
      <c r="H7" s="255"/>
      <c r="I7" s="255"/>
      <c r="J7" s="255"/>
    </row>
    <row r="8" spans="1:15" ht="27.6" customHeight="1">
      <c r="A8" s="65"/>
      <c r="B8" s="63" t="s">
        <v>91</v>
      </c>
      <c r="C8" s="256" t="s">
        <v>92</v>
      </c>
      <c r="D8" s="256"/>
      <c r="E8" s="256"/>
      <c r="F8" s="256"/>
      <c r="G8" s="256"/>
      <c r="H8" s="256"/>
      <c r="I8" s="256"/>
      <c r="J8" s="256"/>
    </row>
    <row r="9" spans="1:15" ht="149.25" customHeight="1" thickBot="1">
      <c r="A9" s="225" t="s">
        <v>93</v>
      </c>
      <c r="B9" s="225"/>
      <c r="C9" s="225"/>
      <c r="D9" s="225"/>
      <c r="E9" s="225"/>
      <c r="F9" s="225"/>
      <c r="G9" s="225"/>
      <c r="H9" s="225"/>
      <c r="I9" s="225"/>
      <c r="J9" s="225"/>
    </row>
    <row r="10" spans="1:15" ht="50.25" customHeight="1" thickTop="1" thickBot="1">
      <c r="A10" s="47"/>
      <c r="B10" s="85" t="s">
        <v>94</v>
      </c>
      <c r="C10" s="177" t="s">
        <v>95</v>
      </c>
      <c r="D10" s="257" t="s">
        <v>96</v>
      </c>
      <c r="E10" s="257"/>
      <c r="F10" s="257"/>
      <c r="G10" s="257"/>
      <c r="H10" s="257"/>
      <c r="I10" s="257"/>
      <c r="J10" s="258"/>
      <c r="M10" s="132" t="str">
        <f>HYPERLINK("#説明!A1","説明")</f>
        <v>説明</v>
      </c>
      <c r="N10" s="90" t="str">
        <f>IF(申請区分="","選択必須","OK")</f>
        <v>OK</v>
      </c>
      <c r="O10" s="92" t="str">
        <f>IF(申請区分="特定技能2号受験に関する新規受験者登録です。","新規申請",IF(申請区分="受験日前日時点での実務経験が1年６か月以上２年未満のため誓約書を提出のうえ、受験し合格しましたが、
実務経験が2年以上となりましたのでシートBの証明書を作成し合格証書の発行を申請します。","実務経験終了による申請","－"))</f>
        <v>新規申請</v>
      </c>
    </row>
    <row r="11" spans="1:15" ht="25.15" customHeight="1" thickTop="1">
      <c r="A11" s="7" t="s">
        <v>97</v>
      </c>
    </row>
    <row r="12" spans="1:15" ht="25.15" customHeight="1">
      <c r="B12" s="192" t="s">
        <v>98</v>
      </c>
      <c r="C12" s="192"/>
      <c r="D12" s="226"/>
      <c r="E12" s="227"/>
      <c r="F12" s="227"/>
      <c r="G12" s="227"/>
      <c r="H12" s="227"/>
      <c r="I12" s="227"/>
      <c r="J12" s="228"/>
      <c r="M12" s="132" t="str">
        <f>HYPERLINK("#説明!A1","説明")</f>
        <v>説明</v>
      </c>
      <c r="N12" s="90" t="str">
        <f>IF(名前="","入力必須","OK")</f>
        <v>入力必須</v>
      </c>
    </row>
    <row r="13" spans="1:15" ht="25.15" customHeight="1">
      <c r="B13" s="192" t="s">
        <v>99</v>
      </c>
      <c r="C13" s="192"/>
      <c r="D13" s="229"/>
      <c r="E13" s="230"/>
      <c r="F13" s="230"/>
      <c r="G13" s="230"/>
      <c r="H13" s="230"/>
      <c r="I13" s="230"/>
      <c r="J13" s="231"/>
      <c r="M13" s="132" t="str">
        <f>HYPERLINK("#説明!A1","説明")</f>
        <v>説明</v>
      </c>
      <c r="N13" s="90" t="str">
        <f>IF(生年月日="","入力必須","OK")</f>
        <v>入力必須</v>
      </c>
    </row>
    <row r="14" spans="1:15" ht="25.15" customHeight="1">
      <c r="B14" s="192" t="s">
        <v>11</v>
      </c>
      <c r="C14" s="192"/>
      <c r="D14" s="232"/>
      <c r="E14" s="233"/>
      <c r="F14" s="233"/>
      <c r="G14" s="233"/>
      <c r="H14" s="233"/>
      <c r="I14" s="233"/>
      <c r="J14" s="234"/>
      <c r="M14" s="132" t="str">
        <f>HYPERLINK("#説明!A1","説明")</f>
        <v>説明</v>
      </c>
      <c r="N14" s="90" t="str">
        <f>IF(国籍▼地域="","入力必須","OK")</f>
        <v>入力必須</v>
      </c>
    </row>
    <row r="15" spans="1:15" ht="25.15" customHeight="1">
      <c r="B15" s="192" t="s">
        <v>100</v>
      </c>
      <c r="C15" s="192"/>
      <c r="D15" s="235"/>
      <c r="E15" s="236"/>
      <c r="F15" s="236"/>
      <c r="G15" s="236"/>
      <c r="H15" s="236"/>
      <c r="I15" s="236"/>
      <c r="J15" s="237"/>
      <c r="M15" s="132" t="str">
        <f>HYPERLINK("#説明!A1","説明")</f>
        <v>説明</v>
      </c>
      <c r="N15" s="90" t="str">
        <f>IF(業種="","入力必須","OK")</f>
        <v>入力必須</v>
      </c>
    </row>
    <row r="16" spans="1:15" ht="40.35" customHeight="1">
      <c r="D16" s="238" t="s">
        <v>101</v>
      </c>
      <c r="E16" s="238"/>
      <c r="F16" s="238"/>
      <c r="G16" s="238"/>
      <c r="H16" s="238"/>
      <c r="I16" s="238"/>
      <c r="J16" s="238"/>
    </row>
    <row r="17" spans="1:16" ht="25.15" customHeight="1">
      <c r="A17" s="128" t="s">
        <v>102</v>
      </c>
      <c r="B17" s="128"/>
      <c r="C17" s="128"/>
      <c r="D17" s="128"/>
      <c r="E17" s="128"/>
      <c r="F17" s="128"/>
      <c r="G17" s="128"/>
      <c r="H17" s="128"/>
      <c r="I17" s="128"/>
    </row>
    <row r="18" spans="1:16" ht="25.15" customHeight="1">
      <c r="B18" s="11" t="s">
        <v>103</v>
      </c>
      <c r="C18" s="22" t="s">
        <v>104</v>
      </c>
      <c r="D18" s="109"/>
      <c r="M18" s="132" t="str">
        <f>HYPERLINK("#説明!A1","説明")</f>
        <v>説明</v>
      </c>
      <c r="N18" s="182" t="str">
        <f>IF(許可を受けた日="","特定技能1号の場合入力必須","OK")</f>
        <v>特定技能1号の場合入力必須</v>
      </c>
    </row>
    <row r="19" spans="1:16" ht="27.75" customHeight="1">
      <c r="B19" s="11"/>
      <c r="C19" s="15" t="s">
        <v>105</v>
      </c>
      <c r="D19" s="126" t="str">
        <f>IF(D18="","",EDATE(D18-1,60))</f>
        <v/>
      </c>
      <c r="E19" s="36" t="s">
        <v>106</v>
      </c>
      <c r="F19" s="15"/>
      <c r="G19" s="15"/>
      <c r="H19" s="15"/>
      <c r="I19" s="35"/>
      <c r="J19" s="35"/>
      <c r="O19" s="93">
        <v>45086</v>
      </c>
    </row>
    <row r="20" spans="1:16" ht="37.15" customHeight="1">
      <c r="B20" s="11"/>
      <c r="C20" s="76" t="s">
        <v>107</v>
      </c>
      <c r="D20" s="127" t="str">
        <f>IF(D18="","",DATEDIF($O$19,$D$19,"Ｙ")&amp;"年"&amp;DATEDIF($O$19,$D$19,"YM")&amp;"ヶ月"&amp;DATEDIF($O$19,$D$19,"MD")&amp;"日")</f>
        <v/>
      </c>
      <c r="E20" s="36" t="s">
        <v>106</v>
      </c>
      <c r="F20" s="15"/>
      <c r="G20" s="15"/>
      <c r="I20" s="66"/>
      <c r="J20" s="35"/>
    </row>
    <row r="21" spans="1:16" ht="12" customHeight="1">
      <c r="C21" s="11"/>
      <c r="D21" s="11"/>
      <c r="F21" s="15"/>
      <c r="G21" s="15"/>
      <c r="H21" s="15"/>
      <c r="I21" s="35"/>
      <c r="J21" s="35"/>
    </row>
    <row r="22" spans="1:16" ht="25.15" customHeight="1">
      <c r="A22" s="7" t="s">
        <v>108</v>
      </c>
      <c r="B22" s="213" t="s">
        <v>109</v>
      </c>
      <c r="C22" s="213"/>
      <c r="D22" s="213"/>
      <c r="E22" s="213"/>
      <c r="F22" s="213"/>
      <c r="G22" s="213"/>
      <c r="H22" s="213"/>
      <c r="I22" s="213"/>
      <c r="J22" s="213"/>
    </row>
    <row r="23" spans="1:16" ht="22.5" customHeight="1" thickBot="1">
      <c r="A23" s="7"/>
      <c r="B23" s="259" t="s">
        <v>110</v>
      </c>
      <c r="C23" s="259"/>
      <c r="D23" s="259"/>
      <c r="E23" s="259"/>
      <c r="F23" s="259"/>
      <c r="G23" s="259"/>
      <c r="H23" s="259"/>
      <c r="I23" s="259"/>
      <c r="J23" s="259"/>
    </row>
    <row r="24" spans="1:16" ht="72" customHeight="1" thickTop="1" thickBot="1">
      <c r="A24" s="173" t="s">
        <v>111</v>
      </c>
      <c r="B24" s="174"/>
      <c r="C24" s="193" t="s">
        <v>112</v>
      </c>
      <c r="D24" s="193"/>
      <c r="E24" s="193"/>
      <c r="F24" s="193"/>
      <c r="G24" s="193"/>
      <c r="H24" s="193"/>
      <c r="I24" s="193"/>
      <c r="J24" s="193"/>
      <c r="M24" s="132" t="str">
        <f>HYPERLINK("#説明!A1","説明")</f>
        <v>説明</v>
      </c>
      <c r="N24" s="181" t="str">
        <f>IF(B24="","B24チェック必須","OK")</f>
        <v>B24チェック必須</v>
      </c>
      <c r="O24" s="92" t="b">
        <v>1</v>
      </c>
    </row>
    <row r="25" spans="1:16" ht="30.75" thickTop="1">
      <c r="A25" s="7"/>
      <c r="B25" s="175" t="s">
        <v>113</v>
      </c>
    </row>
    <row r="26" spans="1:16" ht="25.15" customHeight="1">
      <c r="A26" s="7"/>
      <c r="C26" s="15" t="s">
        <v>114</v>
      </c>
      <c r="D26" s="109"/>
      <c r="E26" s="253" t="s">
        <v>115</v>
      </c>
      <c r="F26" s="254"/>
      <c r="G26" s="254"/>
      <c r="H26" s="254"/>
      <c r="I26" s="254"/>
      <c r="J26" s="254"/>
      <c r="M26" s="132" t="str">
        <f>HYPERLINK("#説明!A1","説明")</f>
        <v>説明</v>
      </c>
      <c r="N26" s="90" t="str">
        <f>IF(D26="","入力必須","OK")</f>
        <v>入力必須</v>
      </c>
    </row>
    <row r="27" spans="1:16">
      <c r="A27" s="7"/>
      <c r="B27" s="4"/>
      <c r="C27" s="4" t="s">
        <v>116</v>
      </c>
      <c r="D27" s="80"/>
      <c r="E27" s="20"/>
    </row>
    <row r="28" spans="1:16" ht="25.15" customHeight="1">
      <c r="A28" s="7"/>
      <c r="B28" s="67" t="s">
        <v>117</v>
      </c>
      <c r="C28" s="2" t="s">
        <v>118</v>
      </c>
      <c r="D28" s="218"/>
      <c r="E28" s="219"/>
      <c r="F28" s="219"/>
      <c r="G28" s="219"/>
      <c r="H28" s="219"/>
      <c r="I28" s="220"/>
      <c r="J28" s="183" t="s">
        <v>119</v>
      </c>
      <c r="M28" s="132" t="str">
        <f>HYPERLINK("#説明!A1","説明")</f>
        <v>説明</v>
      </c>
      <c r="N28" s="90" t="str">
        <f>IF(D28="","入力必須","OK")</f>
        <v>入力必須</v>
      </c>
      <c r="P28" s="181" t="str">
        <f>IF(AND(Q8="新規登録",F28&lt;F24,F28&lt;&gt;""),"データ確認",IF(AND(Q8="実務経験終了による申請",F28&lt;&gt;""),"要確認","データ確認"))</f>
        <v>データ確認</v>
      </c>
    </row>
    <row r="29" spans="1:16" ht="37.15" customHeight="1">
      <c r="B29" s="11" t="s">
        <v>103</v>
      </c>
      <c r="C29" s="62" t="s">
        <v>120</v>
      </c>
      <c r="D29" s="109"/>
      <c r="E29" s="20"/>
      <c r="G29" s="10"/>
      <c r="J29" s="20" t="s">
        <v>15</v>
      </c>
      <c r="M29" s="132" t="str">
        <f>HYPERLINK("#説明!A1","説明")</f>
        <v>説明</v>
      </c>
      <c r="N29" s="90" t="str">
        <f>IF(AND(D29&lt;&gt;"",D29&gt;=許可を受けた日),"OK","入力必須")</f>
        <v>入力必須</v>
      </c>
      <c r="O29" s="91" t="str">
        <f>IF(OR(D29="",D30=""),"－",DATEDIF($D$29,$D$30+1,"Y"))</f>
        <v>－</v>
      </c>
    </row>
    <row r="30" spans="1:16" ht="37.15" customHeight="1">
      <c r="B30" s="11" t="s">
        <v>121</v>
      </c>
      <c r="C30" s="62" t="s">
        <v>122</v>
      </c>
      <c r="D30" s="109"/>
      <c r="E30" s="20" t="s">
        <v>123</v>
      </c>
      <c r="F30" s="11"/>
      <c r="G30" s="10"/>
      <c r="J30" s="20" t="s">
        <v>15</v>
      </c>
      <c r="M30" s="132" t="str">
        <f>HYPERLINK("#説明!A1","説明")</f>
        <v>説明</v>
      </c>
      <c r="N30" s="187" t="str">
        <f>IF(AND(O10="新規申請",D30&lt;D26,D30&lt;&gt;""),"OK",IF(O10="実務経験終了による申請","OK","終了日は試験前日までで設定"))</f>
        <v>終了日は試験前日までで設定</v>
      </c>
      <c r="O30" s="89"/>
      <c r="P30" t="s">
        <v>124</v>
      </c>
    </row>
    <row r="31" spans="1:16" s="95" customFormat="1" ht="20.100000000000001" customHeight="1">
      <c r="D31" s="128"/>
      <c r="N31" s="168"/>
    </row>
    <row r="32" spans="1:16" ht="114" customHeight="1">
      <c r="B32" s="11"/>
      <c r="C32" s="221" t="s">
        <v>125</v>
      </c>
      <c r="D32" s="221"/>
      <c r="E32" s="221"/>
      <c r="F32" s="221"/>
      <c r="G32" s="221"/>
      <c r="H32" s="221"/>
      <c r="I32" s="221"/>
      <c r="J32" s="221"/>
    </row>
    <row r="33" spans="1:17" ht="51.75" customHeight="1">
      <c r="B33" s="11"/>
      <c r="C33" s="243" t="s">
        <v>126</v>
      </c>
      <c r="D33" s="243"/>
      <c r="E33" s="243"/>
      <c r="F33" s="243"/>
      <c r="G33" s="243"/>
      <c r="H33" s="243"/>
      <c r="I33" s="243"/>
      <c r="J33" s="243"/>
    </row>
    <row r="34" spans="1:17" ht="25.15" customHeight="1">
      <c r="B34" s="11" t="s">
        <v>24</v>
      </c>
      <c r="C34" s="62" t="s">
        <v>127</v>
      </c>
      <c r="D34" s="79" t="str">
        <f>IF(OR(D29="",D30=""),"",DATEDIF(D29,D30+1,"Y")&amp;"年"&amp;DATEDIF(D29,D30+1,"YM")&amp;"ヶ月"&amp;DATEDIF(D29,D30+1,"MD")&amp;"日")</f>
        <v/>
      </c>
      <c r="E34" s="36" t="s">
        <v>17</v>
      </c>
      <c r="F34" s="11"/>
      <c r="G34" s="10"/>
      <c r="J34" s="68"/>
      <c r="O34" s="91"/>
    </row>
    <row r="35" spans="1:17" ht="86.45" customHeight="1">
      <c r="A35" s="7"/>
      <c r="B35" s="11" t="s">
        <v>128</v>
      </c>
      <c r="C35" s="62" t="s">
        <v>129</v>
      </c>
      <c r="D35" s="244"/>
      <c r="E35" s="245"/>
      <c r="F35" s="245"/>
      <c r="G35" s="245"/>
      <c r="H35" s="246"/>
      <c r="I35" s="251" t="s">
        <v>130</v>
      </c>
      <c r="J35" s="252"/>
      <c r="M35" s="132" t="str">
        <f>HYPERLINK("#説明!A1","説明")</f>
        <v>説明</v>
      </c>
      <c r="N35" s="90" t="str">
        <f>IF(企業A▼役職&lt;&gt;"","OK","入力必須")</f>
        <v>入力必須</v>
      </c>
    </row>
    <row r="36" spans="1:17" ht="21.6" customHeight="1">
      <c r="A36" s="7"/>
      <c r="B36" s="11" t="s">
        <v>27</v>
      </c>
      <c r="C36" s="193"/>
      <c r="D36" s="192"/>
      <c r="E36" s="192"/>
      <c r="F36" s="192"/>
      <c r="G36" s="192"/>
      <c r="H36" s="192"/>
      <c r="I36" s="192"/>
      <c r="J36" s="192"/>
    </row>
    <row r="37" spans="1:17" ht="21.6" customHeight="1">
      <c r="A37" s="7"/>
      <c r="B37" s="11"/>
      <c r="C37" s="76" t="s">
        <v>131</v>
      </c>
      <c r="D37" s="94"/>
      <c r="E37" s="15" t="s">
        <v>132</v>
      </c>
      <c r="F37" s="15"/>
      <c r="G37" s="15"/>
      <c r="H37" s="15"/>
      <c r="I37" s="15"/>
      <c r="J37" s="15"/>
      <c r="M37" s="132" t="str">
        <f>HYPERLINK("#説明!A1","説明")</f>
        <v>説明</v>
      </c>
      <c r="N37" s="90" t="str">
        <f>IF(AND(企業A▼人数&lt;&gt;"",企業A▼人数&gt;=2),"OK","入力必須")</f>
        <v>入力必須</v>
      </c>
    </row>
    <row r="38" spans="1:17" ht="20.100000000000001" customHeight="1">
      <c r="A38" s="7"/>
      <c r="B38" s="11"/>
      <c r="C38" s="86" t="s">
        <v>133</v>
      </c>
      <c r="D38" s="70"/>
      <c r="E38" s="70"/>
      <c r="F38" s="70"/>
      <c r="G38" s="70"/>
      <c r="H38" s="70"/>
      <c r="I38" s="166" t="str">
        <f>IF(AND($I39&lt;&gt;"",$I40&lt;&gt;"",$I39=$I40),"※中項目が重複しています。別の中項目を選択してください。","")</f>
        <v/>
      </c>
      <c r="J38" s="185" t="s">
        <v>134</v>
      </c>
    </row>
    <row r="39" spans="1:17" ht="20.100000000000001" customHeight="1">
      <c r="A39" s="7"/>
      <c r="B39" s="11"/>
      <c r="C39" s="87" t="s">
        <v>135</v>
      </c>
      <c r="D39" s="176"/>
      <c r="E39" s="70"/>
      <c r="F39" s="239" t="s">
        <v>136</v>
      </c>
      <c r="G39" s="239"/>
      <c r="H39" s="239"/>
      <c r="I39" s="241"/>
      <c r="J39" s="242"/>
      <c r="M39" s="132" t="str">
        <f>HYPERLINK("#説明!A1","説明")</f>
        <v>説明</v>
      </c>
      <c r="N39" s="90" t="str">
        <f>IF(AND(OR(D39="店舗管理",D40="店舗管理"),D39&lt;&gt;"",D40&lt;&gt;"",I39&lt;&gt;"",I40&lt;&gt;""),"OK","選択必須")</f>
        <v>選択必須</v>
      </c>
      <c r="Q39" s="133" t="s">
        <v>137</v>
      </c>
    </row>
    <row r="40" spans="1:17" ht="20.100000000000001" customHeight="1">
      <c r="A40" s="7"/>
      <c r="B40" s="11"/>
      <c r="C40" s="87" t="s">
        <v>135</v>
      </c>
      <c r="D40" s="176"/>
      <c r="E40" s="70"/>
      <c r="F40" s="239" t="s">
        <v>136</v>
      </c>
      <c r="G40" s="239"/>
      <c r="H40" s="239"/>
      <c r="I40" s="241"/>
      <c r="J40" s="242"/>
      <c r="M40" s="132" t="str">
        <f>HYPERLINK("#説明!A1","説明")</f>
        <v>説明</v>
      </c>
      <c r="N40" s="90" t="str">
        <f>IF(AND(D39&lt;&gt;"",D40&lt;&gt;"",I39&lt;&gt;"",I40&lt;&gt;""),"OK","選択必須")</f>
        <v>選択必須</v>
      </c>
      <c r="Q40" s="133" t="s">
        <v>138</v>
      </c>
    </row>
    <row r="41" spans="1:17" ht="20.100000000000001" customHeight="1">
      <c r="A41" s="7"/>
      <c r="B41" s="11"/>
      <c r="C41" s="180" t="s">
        <v>139</v>
      </c>
      <c r="D41" s="250" t="s">
        <v>140</v>
      </c>
      <c r="E41" s="250"/>
      <c r="F41" s="250"/>
      <c r="G41" s="250"/>
      <c r="H41" s="250"/>
      <c r="I41" s="250"/>
      <c r="J41" s="250"/>
      <c r="Q41" s="92"/>
    </row>
    <row r="42" spans="1:17" ht="20.100000000000001" customHeight="1">
      <c r="A42" s="7"/>
      <c r="B42" s="11"/>
      <c r="C42" s="87"/>
      <c r="D42" s="250"/>
      <c r="E42" s="250"/>
      <c r="F42" s="250"/>
      <c r="G42" s="250"/>
      <c r="H42" s="250"/>
      <c r="I42" s="250"/>
      <c r="J42" s="250"/>
      <c r="Q42" s="92"/>
    </row>
    <row r="43" spans="1:17" ht="20.100000000000001" customHeight="1">
      <c r="A43"/>
      <c r="B43"/>
      <c r="C43" s="1"/>
      <c r="D43" s="249" t="s">
        <v>141</v>
      </c>
      <c r="E43" s="249"/>
      <c r="F43" s="249"/>
      <c r="G43" s="249"/>
      <c r="H43" s="249"/>
      <c r="I43" s="249"/>
      <c r="J43" s="249"/>
      <c r="Q43" s="92"/>
    </row>
    <row r="44" spans="1:17" ht="20.100000000000001" customHeight="1">
      <c r="A44" s="7"/>
      <c r="B44" s="11"/>
      <c r="C44" s="86" t="s">
        <v>142</v>
      </c>
      <c r="D44"/>
      <c r="E44"/>
      <c r="F44"/>
      <c r="G44"/>
      <c r="H44"/>
      <c r="I44" s="166" t="str">
        <f>IF(AND($I45&lt;&gt;"",$I46&lt;&gt;"",$I45=$I46),"※中項目が重複しています。別の中項目を選択してください。","")</f>
        <v/>
      </c>
      <c r="J44" s="185" t="s">
        <v>134</v>
      </c>
      <c r="Q44" s="92"/>
    </row>
    <row r="45" spans="1:17" ht="20.100000000000001" customHeight="1">
      <c r="A45" s="7"/>
      <c r="B45" s="11"/>
      <c r="C45" s="87" t="s">
        <v>135</v>
      </c>
      <c r="D45" s="176"/>
      <c r="E45" s="70"/>
      <c r="F45" s="239" t="s">
        <v>136</v>
      </c>
      <c r="G45" s="239"/>
      <c r="H45" s="239"/>
      <c r="I45" s="241"/>
      <c r="J45" s="242"/>
      <c r="M45" s="132" t="str">
        <f>HYPERLINK("#説明!A1","説明")</f>
        <v>説明</v>
      </c>
      <c r="N45" s="90" t="str">
        <f>IF(OR(AND(D45&lt;&gt;"",I45&lt;&gt;""),AND(D46&lt;&gt;"",I46&lt;&gt;"")),"OK","選択必須")</f>
        <v>選択必須</v>
      </c>
      <c r="Q45" s="133" t="s">
        <v>137</v>
      </c>
    </row>
    <row r="46" spans="1:17" ht="20.100000000000001" customHeight="1">
      <c r="A46" s="7"/>
      <c r="B46" s="11"/>
      <c r="C46" s="87" t="s">
        <v>135</v>
      </c>
      <c r="D46" s="176"/>
      <c r="E46" s="70"/>
      <c r="F46" s="239" t="s">
        <v>136</v>
      </c>
      <c r="G46" s="239"/>
      <c r="H46" s="239"/>
      <c r="I46" s="241"/>
      <c r="J46" s="242"/>
      <c r="M46" s="132" t="str">
        <f>HYPERLINK("#説明!A1","説明")</f>
        <v>説明</v>
      </c>
      <c r="N46" s="90" t="str">
        <f>IF(AND(D45&lt;&gt;"",I45&lt;&gt;"",D46&lt;&gt;"",I46&lt;&gt;""),"OK","選択必須")</f>
        <v>選択必須</v>
      </c>
      <c r="Q46" s="133" t="s">
        <v>138</v>
      </c>
    </row>
    <row r="47" spans="1:17" ht="20.100000000000001" customHeight="1">
      <c r="A47" s="7"/>
      <c r="B47" s="11"/>
      <c r="C47" s="180" t="s">
        <v>139</v>
      </c>
      <c r="D47" s="249" t="s">
        <v>143</v>
      </c>
      <c r="E47" s="249"/>
      <c r="F47" s="249"/>
      <c r="G47" s="249"/>
      <c r="H47" s="249"/>
      <c r="I47" s="249"/>
      <c r="J47" s="249"/>
    </row>
    <row r="48" spans="1:17" ht="20.100000000000001" customHeight="1">
      <c r="A48" s="7"/>
      <c r="B48" s="11"/>
      <c r="C48" s="87"/>
      <c r="D48" s="178" t="s">
        <v>144</v>
      </c>
      <c r="E48" s="178"/>
      <c r="F48" s="179"/>
      <c r="G48" s="179"/>
      <c r="H48" s="179"/>
      <c r="I48" s="178"/>
      <c r="J48" s="178"/>
    </row>
    <row r="49" spans="1:17" ht="11.25" customHeight="1">
      <c r="A49"/>
      <c r="B49"/>
      <c r="C49"/>
      <c r="D49"/>
      <c r="E49"/>
      <c r="F49"/>
      <c r="G49"/>
      <c r="H49"/>
      <c r="I49"/>
      <c r="J49"/>
      <c r="N49" s="169"/>
      <c r="O49" s="88"/>
    </row>
    <row r="50" spans="1:17" ht="25.15" customHeight="1">
      <c r="A50" s="7"/>
      <c r="B50" s="67" t="s">
        <v>145</v>
      </c>
      <c r="C50" s="2" t="s">
        <v>118</v>
      </c>
      <c r="D50" s="218"/>
      <c r="E50" s="219"/>
      <c r="F50" s="219"/>
      <c r="G50" s="219"/>
      <c r="H50" s="219"/>
      <c r="I50" s="220"/>
      <c r="J50" s="183" t="s">
        <v>146</v>
      </c>
      <c r="M50" s="132"/>
      <c r="N50" s="90" t="str">
        <f>IF(D50="","入力必須","OK")</f>
        <v>入力必須</v>
      </c>
      <c r="O50" s="92">
        <f>IF(D50&lt;&gt;"",1,0)</f>
        <v>0</v>
      </c>
    </row>
    <row r="51" spans="1:17" ht="37.15" customHeight="1">
      <c r="B51" s="11" t="s">
        <v>103</v>
      </c>
      <c r="C51" s="62" t="s">
        <v>120</v>
      </c>
      <c r="D51" s="184"/>
      <c r="E51" s="20"/>
      <c r="G51" s="10"/>
      <c r="J51" s="20" t="s">
        <v>15</v>
      </c>
      <c r="N51" s="90" t="str">
        <f>IF(AND(D51&lt;&gt;"",D51&gt;=許可を受けた日),"OK","入力必須")</f>
        <v>入力必須</v>
      </c>
      <c r="O51" s="91" t="str">
        <f>IF(OR(D51="",D52=""),"－",DATEDIF($D$29,$D$30+1,"Y"))</f>
        <v>－</v>
      </c>
    </row>
    <row r="52" spans="1:17" ht="37.15" customHeight="1">
      <c r="B52" s="11" t="s">
        <v>121</v>
      </c>
      <c r="C52" s="62" t="s">
        <v>122</v>
      </c>
      <c r="D52" s="109"/>
      <c r="E52" s="20" t="s">
        <v>123</v>
      </c>
      <c r="F52" s="11"/>
      <c r="G52" s="10"/>
      <c r="J52" s="20" t="s">
        <v>15</v>
      </c>
      <c r="N52" s="90" t="str">
        <f>IF(AND(O32="新規申請",D52&lt;受験予定日,D52&lt;&gt;""),"OK",IF(AND(O32="実務経験終了による申請",D52&lt;&gt;""),"OK","入力必須"))</f>
        <v>入力必須</v>
      </c>
      <c r="O52" s="89"/>
    </row>
    <row r="53" spans="1:17" s="95" customFormat="1" ht="20.100000000000001" customHeight="1">
      <c r="D53" s="128"/>
      <c r="N53" s="168"/>
    </row>
    <row r="54" spans="1:17" ht="114" customHeight="1">
      <c r="B54" s="11"/>
      <c r="C54" s="221" t="s">
        <v>125</v>
      </c>
      <c r="D54" s="221"/>
      <c r="E54" s="221"/>
      <c r="F54" s="221"/>
      <c r="G54" s="221"/>
      <c r="H54" s="221"/>
      <c r="I54" s="221"/>
      <c r="J54" s="221"/>
    </row>
    <row r="55" spans="1:17" ht="51.75" customHeight="1">
      <c r="B55" s="11"/>
      <c r="C55" s="243" t="s">
        <v>126</v>
      </c>
      <c r="D55" s="243"/>
      <c r="E55" s="243"/>
      <c r="F55" s="243"/>
      <c r="G55" s="243"/>
      <c r="H55" s="243"/>
      <c r="I55" s="243"/>
      <c r="J55" s="243"/>
    </row>
    <row r="56" spans="1:17" ht="25.15" customHeight="1">
      <c r="B56" s="11" t="s">
        <v>24</v>
      </c>
      <c r="C56" s="62" t="s">
        <v>127</v>
      </c>
      <c r="D56" s="79" t="str">
        <f>IF(OR(D51="",D52=""),"",DATEDIF(D51,D52+1,"Y")&amp;"年"&amp;DATEDIF(D51,D52+1,"YM")&amp;"ヶ月"&amp;DATEDIF(D51,D52+1,"MD")&amp;"日")</f>
        <v/>
      </c>
      <c r="E56" s="36" t="s">
        <v>17</v>
      </c>
      <c r="F56" s="11"/>
      <c r="G56" s="10"/>
      <c r="J56" s="68"/>
      <c r="O56" s="91"/>
    </row>
    <row r="57" spans="1:17" ht="84" customHeight="1">
      <c r="A57" s="7"/>
      <c r="B57" s="11" t="s">
        <v>128</v>
      </c>
      <c r="C57" s="62" t="s">
        <v>129</v>
      </c>
      <c r="D57" s="244"/>
      <c r="E57" s="245"/>
      <c r="F57" s="245"/>
      <c r="G57" s="245"/>
      <c r="H57" s="246"/>
      <c r="I57" s="247" t="s">
        <v>147</v>
      </c>
      <c r="J57" s="248"/>
      <c r="N57" s="90" t="str">
        <f>IF(企業B▼役職&lt;&gt;"","OK","入力必須")</f>
        <v>入力必須</v>
      </c>
    </row>
    <row r="58" spans="1:17" ht="21.6" customHeight="1">
      <c r="A58" s="7"/>
      <c r="B58" s="11" t="s">
        <v>27</v>
      </c>
      <c r="C58" s="193" t="s">
        <v>148</v>
      </c>
      <c r="D58" s="192"/>
      <c r="E58" s="192"/>
      <c r="F58" s="192"/>
      <c r="G58" s="192"/>
      <c r="H58" s="192"/>
      <c r="I58" s="192"/>
      <c r="J58" s="192"/>
    </row>
    <row r="59" spans="1:17" ht="21.6" customHeight="1">
      <c r="A59" s="7"/>
      <c r="B59" s="11"/>
      <c r="C59" s="76" t="s">
        <v>131</v>
      </c>
      <c r="D59" s="94"/>
      <c r="E59" s="15" t="s">
        <v>132</v>
      </c>
      <c r="F59" s="15"/>
      <c r="G59" s="15"/>
      <c r="H59" s="15"/>
      <c r="I59" s="15"/>
      <c r="J59" s="15"/>
      <c r="N59" s="90" t="str">
        <f>IF(AND(企業B▼人数&lt;&gt;"",企業B▼人数&gt;=2),"OK","入力必須")</f>
        <v>入力必須</v>
      </c>
    </row>
    <row r="60" spans="1:17" ht="20.100000000000001" customHeight="1">
      <c r="A60" s="7"/>
      <c r="B60" s="11"/>
      <c r="C60" s="86" t="s">
        <v>133</v>
      </c>
      <c r="D60" s="70"/>
      <c r="E60" s="70"/>
      <c r="F60" s="70"/>
      <c r="G60" s="70"/>
      <c r="H60" s="70"/>
      <c r="I60" s="166" t="str">
        <f>IF(AND($I61&lt;&gt;"",$I62&lt;&gt;"",$I61=$I62),"※中項目が重複しています。別の中項目を選択してください。","")</f>
        <v/>
      </c>
      <c r="J60" s="185" t="s">
        <v>134</v>
      </c>
    </row>
    <row r="61" spans="1:17" ht="20.100000000000001" customHeight="1">
      <c r="A61" s="7"/>
      <c r="B61" s="11"/>
      <c r="C61" s="87" t="s">
        <v>135</v>
      </c>
      <c r="D61" s="176"/>
      <c r="E61" s="70"/>
      <c r="F61" s="239" t="s">
        <v>136</v>
      </c>
      <c r="G61" s="239"/>
      <c r="H61" s="239"/>
      <c r="I61" s="241"/>
      <c r="J61" s="242"/>
      <c r="N61" s="90" t="str">
        <f>IF(AND(OR(D61="店舗管理",D62="店舗管理"),D61&lt;&gt;"",D62&lt;&gt;"",I61&lt;&gt;"",I62&lt;&gt;""),"OK","選択必須")</f>
        <v>選択必須</v>
      </c>
      <c r="Q61" s="133" t="s">
        <v>137</v>
      </c>
    </row>
    <row r="62" spans="1:17" ht="20.100000000000001" customHeight="1">
      <c r="A62" s="7"/>
      <c r="B62" s="11"/>
      <c r="C62" s="87" t="s">
        <v>135</v>
      </c>
      <c r="D62" s="176"/>
      <c r="E62" s="70"/>
      <c r="F62" s="239" t="s">
        <v>136</v>
      </c>
      <c r="G62" s="239"/>
      <c r="H62" s="239"/>
      <c r="I62" s="241"/>
      <c r="J62" s="242"/>
      <c r="N62" s="90" t="str">
        <f>IF(AND(D61&lt;&gt;"",D62&lt;&gt;"",I61&lt;&gt;"",I62&lt;&gt;""),"OK","選択必須")</f>
        <v>選択必須</v>
      </c>
      <c r="Q62" s="133" t="s">
        <v>138</v>
      </c>
    </row>
    <row r="63" spans="1:17" ht="20.100000000000001" customHeight="1">
      <c r="A63" s="7"/>
      <c r="B63" s="11"/>
      <c r="C63" s="180" t="s">
        <v>139</v>
      </c>
      <c r="D63" s="250" t="s">
        <v>140</v>
      </c>
      <c r="E63" s="250"/>
      <c r="F63" s="250"/>
      <c r="G63" s="250"/>
      <c r="H63" s="250"/>
      <c r="I63" s="250"/>
      <c r="J63" s="250"/>
      <c r="Q63" s="92"/>
    </row>
    <row r="64" spans="1:17" ht="20.100000000000001" customHeight="1">
      <c r="A64" s="7"/>
      <c r="B64" s="11"/>
      <c r="C64" s="87"/>
      <c r="D64" s="250"/>
      <c r="E64" s="250"/>
      <c r="F64" s="250"/>
      <c r="G64" s="250"/>
      <c r="H64" s="250"/>
      <c r="I64" s="250"/>
      <c r="J64" s="250"/>
      <c r="Q64" s="92"/>
    </row>
    <row r="65" spans="1:17" ht="20.100000000000001" customHeight="1">
      <c r="A65"/>
      <c r="B65"/>
      <c r="C65" s="1"/>
      <c r="D65" s="249" t="s">
        <v>141</v>
      </c>
      <c r="E65" s="249"/>
      <c r="F65" s="249"/>
      <c r="G65" s="249"/>
      <c r="H65" s="249"/>
      <c r="I65" s="249"/>
      <c r="J65" s="249"/>
      <c r="Q65" s="92"/>
    </row>
    <row r="66" spans="1:17" ht="20.100000000000001" customHeight="1">
      <c r="A66" s="7"/>
      <c r="B66" s="11"/>
      <c r="C66" s="86" t="s">
        <v>142</v>
      </c>
      <c r="D66"/>
      <c r="E66"/>
      <c r="F66"/>
      <c r="G66"/>
      <c r="H66"/>
      <c r="I66" s="166" t="str">
        <f>IF(AND($I67&lt;&gt;"",$I68&lt;&gt;"",$I67=$I68),"※中項目が重複しています。別の中項目を選択してください。","")</f>
        <v/>
      </c>
      <c r="J66" s="185" t="s">
        <v>134</v>
      </c>
      <c r="Q66" s="92"/>
    </row>
    <row r="67" spans="1:17" ht="20.100000000000001" customHeight="1">
      <c r="A67" s="7"/>
      <c r="B67" s="11"/>
      <c r="C67" s="87" t="s">
        <v>135</v>
      </c>
      <c r="D67" s="176"/>
      <c r="E67" s="70"/>
      <c r="F67" s="239" t="s">
        <v>136</v>
      </c>
      <c r="G67" s="239"/>
      <c r="H67" s="239"/>
      <c r="I67" s="241"/>
      <c r="J67" s="242"/>
      <c r="N67" s="90" t="str">
        <f>IF(OR(AND(D67&lt;&gt;"",I67&lt;&gt;""),AND(D68&lt;&gt;"",I68&lt;&gt;"")),"OK","選択必須")</f>
        <v>選択必須</v>
      </c>
      <c r="Q67" s="133" t="s">
        <v>137</v>
      </c>
    </row>
    <row r="68" spans="1:17" ht="20.100000000000001" customHeight="1">
      <c r="A68" s="7"/>
      <c r="B68" s="11"/>
      <c r="C68" s="87" t="s">
        <v>135</v>
      </c>
      <c r="D68" s="176"/>
      <c r="E68" s="70"/>
      <c r="F68" s="239" t="s">
        <v>136</v>
      </c>
      <c r="G68" s="239"/>
      <c r="H68" s="239"/>
      <c r="I68" s="241"/>
      <c r="J68" s="242"/>
      <c r="N68" s="90" t="str">
        <f>IF(AND(D67&lt;&gt;"",I67&lt;&gt;"",D68&lt;&gt;"",I68&lt;&gt;""),"OK","選択必須")</f>
        <v>選択必須</v>
      </c>
      <c r="Q68" s="133" t="s">
        <v>138</v>
      </c>
    </row>
    <row r="69" spans="1:17" ht="20.100000000000001" customHeight="1">
      <c r="A69" s="7"/>
      <c r="B69" s="11"/>
      <c r="C69" s="180" t="s">
        <v>139</v>
      </c>
      <c r="D69" s="249" t="s">
        <v>143</v>
      </c>
      <c r="E69" s="249"/>
      <c r="F69" s="249"/>
      <c r="G69" s="249"/>
      <c r="H69" s="249"/>
      <c r="I69" s="249"/>
      <c r="J69" s="249"/>
    </row>
    <row r="70" spans="1:17" ht="20.100000000000001" customHeight="1">
      <c r="A70" s="7"/>
      <c r="B70" s="11"/>
      <c r="C70" s="87"/>
      <c r="D70" s="178" t="s">
        <v>144</v>
      </c>
      <c r="E70" s="178"/>
      <c r="F70" s="179"/>
      <c r="G70" s="179"/>
      <c r="H70" s="179"/>
      <c r="I70" s="178"/>
      <c r="J70" s="178"/>
    </row>
    <row r="71" spans="1:17" ht="11.25" customHeight="1">
      <c r="A71"/>
      <c r="B71"/>
      <c r="C71"/>
      <c r="D71"/>
      <c r="E71"/>
      <c r="F71"/>
      <c r="G71"/>
      <c r="H71"/>
      <c r="I71"/>
      <c r="J71"/>
      <c r="N71" s="169"/>
      <c r="O71" s="88"/>
    </row>
    <row r="72" spans="1:17" ht="25.15" customHeight="1">
      <c r="A72" s="7"/>
      <c r="B72" s="67" t="s">
        <v>149</v>
      </c>
      <c r="C72" s="2" t="s">
        <v>118</v>
      </c>
      <c r="D72" s="218"/>
      <c r="E72" s="219"/>
      <c r="F72" s="219"/>
      <c r="G72" s="219"/>
      <c r="H72" s="219"/>
      <c r="I72" s="220"/>
      <c r="J72" s="183" t="s">
        <v>150</v>
      </c>
      <c r="N72" s="90" t="str">
        <f>IF(D72="","入力必須","OK")</f>
        <v>入力必須</v>
      </c>
      <c r="O72" s="92">
        <f>IF(D72&lt;&gt;"",1,0)</f>
        <v>0</v>
      </c>
    </row>
    <row r="73" spans="1:17" ht="37.15" customHeight="1">
      <c r="B73" s="11" t="s">
        <v>103</v>
      </c>
      <c r="C73" s="62" t="s">
        <v>120</v>
      </c>
      <c r="D73" s="109"/>
      <c r="E73" s="20"/>
      <c r="G73" s="10"/>
      <c r="J73" s="20" t="s">
        <v>15</v>
      </c>
      <c r="N73" s="90" t="str">
        <f>IF(AND(D73&lt;&gt;"",D73&gt;=許可を受けた日),"OK","入力必須")</f>
        <v>入力必須</v>
      </c>
      <c r="O73" s="91" t="str">
        <f>IF(OR(D73="",D74=""),"－",DATEDIF($D$29,$D$30+1,"Y"))</f>
        <v>－</v>
      </c>
    </row>
    <row r="74" spans="1:17" ht="37.15" customHeight="1">
      <c r="B74" s="11" t="s">
        <v>121</v>
      </c>
      <c r="C74" s="62" t="s">
        <v>122</v>
      </c>
      <c r="D74" s="109"/>
      <c r="E74" s="20" t="s">
        <v>123</v>
      </c>
      <c r="F74" s="11"/>
      <c r="G74" s="10"/>
      <c r="J74" s="20" t="s">
        <v>15</v>
      </c>
      <c r="N74" s="90" t="str">
        <f>IF(AND(O54="新規申請",D74&lt;受験予定日,D74&lt;&gt;""),"OK",IF(AND(O54="実務経験終了による申請",D74&lt;&gt;""),"OK","入力必須"))</f>
        <v>入力必須</v>
      </c>
    </row>
    <row r="75" spans="1:17" s="95" customFormat="1" ht="20.100000000000001" customHeight="1">
      <c r="D75" s="128"/>
      <c r="N75" s="168"/>
    </row>
    <row r="76" spans="1:17" ht="114" customHeight="1">
      <c r="B76" s="11"/>
      <c r="C76" s="221" t="s">
        <v>125</v>
      </c>
      <c r="D76" s="221"/>
      <c r="E76" s="221"/>
      <c r="F76" s="221"/>
      <c r="G76" s="221"/>
      <c r="H76" s="221"/>
      <c r="I76" s="221"/>
      <c r="J76" s="221"/>
    </row>
    <row r="77" spans="1:17" ht="51.75" customHeight="1">
      <c r="B77" s="11"/>
      <c r="C77" s="243" t="s">
        <v>126</v>
      </c>
      <c r="D77" s="243"/>
      <c r="E77" s="243"/>
      <c r="F77" s="243"/>
      <c r="G77" s="243"/>
      <c r="H77" s="243"/>
      <c r="I77" s="243"/>
      <c r="J77" s="243"/>
    </row>
    <row r="78" spans="1:17" ht="25.15" customHeight="1">
      <c r="B78" s="11" t="s">
        <v>24</v>
      </c>
      <c r="C78" s="62" t="s">
        <v>127</v>
      </c>
      <c r="D78" s="79" t="str">
        <f>IF(OR(D73="",D74=""),"",DATEDIF(D73,D74+1,"Y")&amp;"年"&amp;DATEDIF(D73,D74+1,"YM")&amp;"ヶ月"&amp;DATEDIF(D73,D74+1,"MD")&amp;"日")</f>
        <v/>
      </c>
      <c r="E78" s="36" t="s">
        <v>17</v>
      </c>
      <c r="F78" s="11"/>
      <c r="G78" s="10"/>
      <c r="J78" s="68"/>
    </row>
    <row r="79" spans="1:17" ht="79.5" customHeight="1">
      <c r="A79" s="7"/>
      <c r="B79" s="11" t="s">
        <v>128</v>
      </c>
      <c r="C79" s="62" t="s">
        <v>129</v>
      </c>
      <c r="D79" s="244"/>
      <c r="E79" s="245"/>
      <c r="F79" s="245"/>
      <c r="G79" s="245"/>
      <c r="H79" s="246"/>
      <c r="I79" s="247" t="s">
        <v>147</v>
      </c>
      <c r="J79" s="248"/>
      <c r="N79" s="90" t="str">
        <f>IF(企業B▼役職&lt;&gt;"","OK","入力必須")</f>
        <v>入力必須</v>
      </c>
    </row>
    <row r="80" spans="1:17" ht="21.6" customHeight="1">
      <c r="A80" s="7"/>
      <c r="B80" s="11" t="s">
        <v>27</v>
      </c>
      <c r="C80" s="193" t="s">
        <v>148</v>
      </c>
      <c r="D80" s="192"/>
      <c r="E80" s="192"/>
      <c r="F80" s="192"/>
      <c r="G80" s="192"/>
      <c r="H80" s="192"/>
      <c r="I80" s="192"/>
      <c r="J80" s="192"/>
    </row>
    <row r="81" spans="1:17" ht="21.6" customHeight="1">
      <c r="A81" s="7"/>
      <c r="B81" s="11"/>
      <c r="C81" s="76" t="s">
        <v>131</v>
      </c>
      <c r="D81" s="94"/>
      <c r="E81" s="15" t="s">
        <v>132</v>
      </c>
      <c r="F81" s="15"/>
      <c r="G81" s="15"/>
      <c r="H81" s="15"/>
      <c r="I81" s="15"/>
      <c r="J81" s="15"/>
      <c r="N81" s="90" t="str">
        <f>IF(AND(企業B▼人数&lt;&gt;"",企業B▼人数&gt;=2),"OK","入力必須")</f>
        <v>入力必須</v>
      </c>
    </row>
    <row r="82" spans="1:17" ht="20.100000000000001" customHeight="1">
      <c r="A82" s="7"/>
      <c r="B82" s="11"/>
      <c r="C82" s="86" t="s">
        <v>133</v>
      </c>
      <c r="D82" s="70"/>
      <c r="E82" s="70"/>
      <c r="F82" s="70"/>
      <c r="G82" s="70"/>
      <c r="H82" s="70"/>
      <c r="I82" s="166" t="str">
        <f>IF(AND($I83&lt;&gt;"",$I84&lt;&gt;"",$I83=$I84),"※中項目が重複しています。別の中項目を選択してください。","")</f>
        <v/>
      </c>
      <c r="J82" s="185" t="s">
        <v>134</v>
      </c>
    </row>
    <row r="83" spans="1:17" ht="20.100000000000001" customHeight="1">
      <c r="A83" s="7"/>
      <c r="B83" s="11"/>
      <c r="C83" s="87" t="s">
        <v>135</v>
      </c>
      <c r="D83" s="176"/>
      <c r="E83" s="70"/>
      <c r="F83" s="239" t="s">
        <v>136</v>
      </c>
      <c r="G83" s="239"/>
      <c r="H83" s="239"/>
      <c r="I83" s="241"/>
      <c r="J83" s="242"/>
      <c r="N83" s="90" t="str">
        <f>IF(AND(OR(D83="店舗管理",D84="店舗管理"),D83&lt;&gt;"",D84&lt;&gt;"",I83&lt;&gt;"",I84&lt;&gt;""),"OK","選択必須")</f>
        <v>選択必須</v>
      </c>
      <c r="Q83" s="133" t="s">
        <v>137</v>
      </c>
    </row>
    <row r="84" spans="1:17" ht="20.100000000000001" customHeight="1">
      <c r="A84" s="7"/>
      <c r="B84" s="11"/>
      <c r="C84" s="87" t="s">
        <v>135</v>
      </c>
      <c r="D84" s="176"/>
      <c r="E84" s="70"/>
      <c r="F84" s="239" t="s">
        <v>136</v>
      </c>
      <c r="G84" s="239"/>
      <c r="H84" s="239"/>
      <c r="I84" s="241"/>
      <c r="J84" s="242"/>
      <c r="N84" s="90" t="str">
        <f>IF(AND(D83&lt;&gt;"",D84&lt;&gt;"",I83&lt;&gt;"",I84&lt;&gt;""),"OK","選択必須")</f>
        <v>選択必須</v>
      </c>
      <c r="Q84" s="133" t="s">
        <v>138</v>
      </c>
    </row>
    <row r="85" spans="1:17" ht="20.100000000000001" customHeight="1">
      <c r="A85" s="7"/>
      <c r="B85" s="11"/>
      <c r="C85" s="180" t="s">
        <v>139</v>
      </c>
      <c r="D85" s="250" t="s">
        <v>140</v>
      </c>
      <c r="E85" s="250"/>
      <c r="F85" s="250"/>
      <c r="G85" s="250"/>
      <c r="H85" s="250"/>
      <c r="I85" s="250"/>
      <c r="J85" s="250"/>
    </row>
    <row r="86" spans="1:17" ht="20.100000000000001" customHeight="1">
      <c r="A86" s="7"/>
      <c r="B86" s="11"/>
      <c r="C86" s="87"/>
      <c r="D86" s="250"/>
      <c r="E86" s="250"/>
      <c r="F86" s="250"/>
      <c r="G86" s="250"/>
      <c r="H86" s="250"/>
      <c r="I86" s="250"/>
      <c r="J86" s="250"/>
    </row>
    <row r="87" spans="1:17" ht="20.100000000000001" customHeight="1">
      <c r="A87"/>
      <c r="B87"/>
      <c r="C87" s="1"/>
      <c r="D87" s="249" t="s">
        <v>141</v>
      </c>
      <c r="E87" s="249"/>
      <c r="F87" s="249"/>
      <c r="G87" s="249"/>
      <c r="H87" s="249"/>
      <c r="I87" s="249"/>
      <c r="J87" s="249"/>
    </row>
    <row r="88" spans="1:17" ht="20.100000000000001" customHeight="1">
      <c r="A88" s="7"/>
      <c r="B88" s="11"/>
      <c r="C88" s="86" t="s">
        <v>142</v>
      </c>
      <c r="D88"/>
      <c r="E88"/>
      <c r="F88"/>
      <c r="G88"/>
      <c r="H88"/>
      <c r="I88" s="166" t="str">
        <f>IF(AND($I89&lt;&gt;"",$I90&lt;&gt;"",$I89=$I90),"※中項目が重複しています。別の中項目を選択してください。","")</f>
        <v/>
      </c>
      <c r="J88" s="185" t="s">
        <v>134</v>
      </c>
    </row>
    <row r="89" spans="1:17" ht="20.100000000000001" customHeight="1">
      <c r="A89" s="7"/>
      <c r="B89" s="11"/>
      <c r="C89" s="87" t="s">
        <v>135</v>
      </c>
      <c r="D89" s="176"/>
      <c r="E89" s="70"/>
      <c r="F89" s="239" t="s">
        <v>136</v>
      </c>
      <c r="G89" s="239"/>
      <c r="H89" s="239"/>
      <c r="I89" s="241"/>
      <c r="J89" s="242"/>
      <c r="N89" s="90" t="str">
        <f>IF(OR(AND(D89&lt;&gt;"",I89&lt;&gt;""),AND(D90&lt;&gt;"",I90&lt;&gt;"")),"OK","選択必須")</f>
        <v>選択必須</v>
      </c>
      <c r="Q89" s="133" t="s">
        <v>137</v>
      </c>
    </row>
    <row r="90" spans="1:17" ht="20.100000000000001" customHeight="1">
      <c r="A90" s="7"/>
      <c r="B90" s="11"/>
      <c r="C90" s="87" t="s">
        <v>135</v>
      </c>
      <c r="D90" s="176"/>
      <c r="E90" s="70"/>
      <c r="F90" s="239" t="s">
        <v>136</v>
      </c>
      <c r="G90" s="239"/>
      <c r="H90" s="239"/>
      <c r="I90" s="241"/>
      <c r="J90" s="242"/>
      <c r="N90" s="90" t="str">
        <f>IF(AND(D89&lt;&gt;"",I89&lt;&gt;"",D90&lt;&gt;"",I90&lt;&gt;""),"OK","選択必須")</f>
        <v>選択必須</v>
      </c>
      <c r="Q90" s="133" t="s">
        <v>138</v>
      </c>
    </row>
    <row r="91" spans="1:17" ht="20.100000000000001" customHeight="1">
      <c r="A91" s="7"/>
      <c r="B91" s="11"/>
      <c r="C91" s="180" t="s">
        <v>139</v>
      </c>
      <c r="D91" s="249" t="s">
        <v>143</v>
      </c>
      <c r="E91" s="249"/>
      <c r="F91" s="249"/>
      <c r="G91" s="249"/>
      <c r="H91" s="249"/>
      <c r="I91" s="249"/>
      <c r="J91" s="249"/>
    </row>
    <row r="92" spans="1:17" ht="20.100000000000001" customHeight="1">
      <c r="A92" s="7"/>
      <c r="B92" s="11"/>
      <c r="C92" s="87"/>
      <c r="D92" s="178" t="s">
        <v>144</v>
      </c>
      <c r="E92" s="178"/>
      <c r="F92" s="179"/>
      <c r="G92" s="179"/>
      <c r="H92" s="179"/>
      <c r="I92" s="178"/>
      <c r="J92" s="178"/>
    </row>
    <row r="93" spans="1:17" ht="11.25" customHeight="1">
      <c r="A93"/>
      <c r="B93"/>
      <c r="C93"/>
      <c r="D93"/>
      <c r="E93"/>
      <c r="F93"/>
      <c r="G93"/>
      <c r="H93"/>
      <c r="I93"/>
      <c r="J93"/>
      <c r="N93" s="169"/>
      <c r="O93" s="88"/>
    </row>
    <row r="94" spans="1:17" ht="25.15" customHeight="1" thickBot="1">
      <c r="A94" s="7" t="s">
        <v>151</v>
      </c>
      <c r="B94" s="7"/>
      <c r="C94" s="7"/>
      <c r="D94" s="7"/>
      <c r="E94" s="7"/>
      <c r="F94" s="7"/>
      <c r="G94" s="7"/>
      <c r="H94" s="7"/>
      <c r="I94" s="7"/>
    </row>
    <row r="95" spans="1:17" ht="149.1" customHeight="1" thickBot="1">
      <c r="B95" s="69"/>
      <c r="C95" s="78" t="s">
        <v>152</v>
      </c>
      <c r="D95" s="110" t="str">
        <f>IF(計算シート!実務経験日数▼補正後=0,"",計算シート!O8)</f>
        <v/>
      </c>
      <c r="E95" s="261" t="s">
        <v>17</v>
      </c>
      <c r="F95" s="260"/>
      <c r="G95" s="262" t="s">
        <v>153</v>
      </c>
      <c r="H95" s="263"/>
      <c r="I95" s="223" t="str">
        <f>IF(D95="","",(IF(計算シート!L11&gt;=730,"受験申請できます。「シート【B】証明書」を作成し、受験者登録画面で「政府が定める管理等実務経験を満たしている」を選択し、実務経験を証明する書類欄に添付して下さい(⑤の判定に結果に関わらず受験できます)",IF(AND(計算シート!L11&gt;=545,計算シート!L11&lt;730),"試験日から６ヵ月以内に実務経験が完了する場合、受験申請できます。
シート【C】誓約書を作成し、受験者登録画面で「政府が定める管理等実務経験を満たす予定である」を選択し、実務経験予定書欄に添付して下さい。"&amp;CHAR(10)&amp;"但し、在留資格が受験分野の特定技能１号の人は下記の経過措置が受けられる場合がありますので⑤受験可否判定を確認して下さい。","実務経験期間が短いため、受験申請できません。
但し、在留資格が受験分野の特定技能１号の人は⑤の経過措置が受けられる場合がありますので、⑤受験可否判定を確認して下さい。"))))</f>
        <v/>
      </c>
      <c r="J95" s="224"/>
      <c r="M95" s="132" t="str">
        <f>HYPERLINK("#説明!A1","説明")</f>
        <v>説明</v>
      </c>
      <c r="O95" s="92" t="e">
        <f>INDEX(判定マスタTB[],MATCH(④受験可否判定,判定マスタTB[判定],0),MATCH("色番号",判定マスタTB[#Headers],0))</f>
        <v>#N/A</v>
      </c>
      <c r="P95" t="e">
        <f>INDEX(判定マスタTB[],MATCH(④受験可否判定,判定マスタTB[判定],0),MATCH("色",判定マスタTB[#Headers],0))</f>
        <v>#N/A</v>
      </c>
    </row>
    <row r="96" spans="1:17" ht="15" customHeight="1">
      <c r="I96" s="192"/>
      <c r="J96" s="192"/>
    </row>
    <row r="97" spans="1:16" ht="54" customHeight="1">
      <c r="A97" s="71" t="s">
        <v>46</v>
      </c>
      <c r="B97" s="217" t="s">
        <v>154</v>
      </c>
      <c r="C97" s="217"/>
      <c r="D97" s="217"/>
      <c r="E97" s="217"/>
      <c r="F97" s="217"/>
      <c r="G97" s="217"/>
      <c r="H97" s="217"/>
      <c r="I97" s="217"/>
      <c r="J97" s="217"/>
    </row>
    <row r="98" spans="1:16" ht="9" customHeight="1">
      <c r="D98" s="10"/>
    </row>
    <row r="99" spans="1:16" ht="61.5" customHeight="1" thickBot="1">
      <c r="A99" s="8"/>
      <c r="B99" s="193" t="s">
        <v>155</v>
      </c>
      <c r="C99" s="192"/>
      <c r="D99" s="192"/>
      <c r="E99" s="192"/>
      <c r="F99" s="192"/>
      <c r="G99" s="192"/>
      <c r="H99" s="192"/>
      <c r="I99" s="192"/>
      <c r="J99" s="192"/>
    </row>
    <row r="100" spans="1:16" ht="91.5" customHeight="1" thickBot="1">
      <c r="A100" s="3"/>
      <c r="C100" s="62" t="s">
        <v>156</v>
      </c>
      <c r="D100" s="110" t="str">
        <f>IF(OR(D18="",O19=""),"",DATEDIF(D18,O19+1,"Y")&amp;"年"&amp;DATEDIF(D18,O19+1,"YM")&amp;"ヶ月"&amp;DATEDIF(D18,O19+1,"MD")&amp;"日")</f>
        <v/>
      </c>
      <c r="E100" s="261" t="s">
        <v>17</v>
      </c>
      <c r="F100" s="260"/>
      <c r="G100" s="262" t="s">
        <v>157</v>
      </c>
      <c r="H100" s="263"/>
      <c r="I100" s="223" t="str">
        <f>IF(D100="","",IF(DATEDIF(許可を受けた日,O19+1,"M")&gt;=30,"条件aを満たします。","条件aを満たしません。"))</f>
        <v/>
      </c>
      <c r="J100" s="224"/>
      <c r="M100" s="132" t="str">
        <f>HYPERLINK("#説明!A1","説明")</f>
        <v>説明</v>
      </c>
      <c r="O100" s="92" t="e">
        <f>INDEX(判定マスタTB[],MATCH(⑤経過措置による受験可否判定▼a,判定マスタTB[判定],0),MATCH("色番号",判定マスタTB[#Headers],0))</f>
        <v>#N/A</v>
      </c>
      <c r="P100" t="e">
        <f>INDEX(判定マスタTB[],MATCH(【A】実務経験要件判定シート!⑤経過措置による受験可否判定▼a,判定マスタTB[判定],0),MATCH("色",判定マスタTB[#Headers],0))</f>
        <v>#N/A</v>
      </c>
    </row>
    <row r="101" spans="1:16" ht="14.25" customHeight="1">
      <c r="B101" s="15"/>
      <c r="C101" s="15"/>
      <c r="D101" s="35"/>
      <c r="G101" s="34"/>
      <c r="H101" s="34"/>
    </row>
    <row r="102" spans="1:16" ht="21.75" customHeight="1" thickBot="1">
      <c r="B102" s="193" t="s">
        <v>158</v>
      </c>
      <c r="C102" s="193"/>
      <c r="D102" s="193"/>
      <c r="E102" s="193"/>
      <c r="F102" s="193"/>
      <c r="G102" s="193"/>
      <c r="H102" s="193"/>
      <c r="I102" s="193"/>
      <c r="J102" s="193"/>
    </row>
    <row r="103" spans="1:16" ht="34.5" customHeight="1" thickBot="1">
      <c r="C103" s="62" t="s">
        <v>159</v>
      </c>
      <c r="D103" s="111" t="str">
        <f>IF(D95="","",計算シート!AA36)</f>
        <v/>
      </c>
      <c r="E103" s="260" t="s">
        <v>17</v>
      </c>
      <c r="F103" s="260"/>
      <c r="H103" s="24"/>
      <c r="I103" s="193"/>
      <c r="J103" s="193"/>
    </row>
    <row r="104" spans="1:16" ht="87.75" customHeight="1" thickBot="1">
      <c r="C104" s="2" t="s">
        <v>160</v>
      </c>
      <c r="D104" s="110" t="str">
        <f>IF(D95="","",D95)</f>
        <v/>
      </c>
      <c r="E104" s="260" t="s">
        <v>17</v>
      </c>
      <c r="F104" s="260"/>
      <c r="G104" s="262" t="s">
        <v>161</v>
      </c>
      <c r="H104" s="263"/>
      <c r="I104" s="223" t="str">
        <f>IF(D104="","",IF(計算シート!L11&gt;=計算シート!Y36,"条件bを満たします。",IF(計算シート!L13&gt;=計算シート!Y36,"条件bを満たします。","条件bを満たしません。")))</f>
        <v/>
      </c>
      <c r="J104" s="224"/>
      <c r="M104" s="132" t="str">
        <f>HYPERLINK("#説明!A1","説明")</f>
        <v>説明</v>
      </c>
      <c r="O104" s="92" t="e">
        <f>INDEX(判定マスタTB[],MATCH(⑤経過措置による受験可否判定▼b,判定マスタTB[判定],0),MATCH("色番号",判定マスタTB[#Headers],0))</f>
        <v>#N/A</v>
      </c>
      <c r="P104" t="e">
        <f>INDEX(判定マスタTB[],MATCH(⑤経過措置による受験可否判定▼b,判定マスタTB[判定],0),MATCH("色",判定マスタTB[#Headers],0))</f>
        <v>#N/A</v>
      </c>
    </row>
    <row r="105" spans="1:16" ht="123" customHeight="1" thickBot="1">
      <c r="C105" s="3" t="s">
        <v>162</v>
      </c>
      <c r="D105" s="186" t="str">
        <f>IF(⑤経過措置による受験可否判定▼b="","",IF(計算シート!L11&gt;=計算シート!Y36,"受験申請可　　シート【B】　　　　証明書を作成",IF(計算シート!L13&gt;=計算シート!Y36,"受験申請可　　シート【C】　　　　誓約書を作成","経過措置対象外で、受験申請できません。")))</f>
        <v/>
      </c>
      <c r="M105" s="132" t="str">
        <f>HYPERLINK("#説明!A1","説明")</f>
        <v>説明</v>
      </c>
      <c r="O105" s="92" t="e">
        <f>INDEX(判定マスタTB[],MATCH(⑤受験可否判定,判定マスタTB[判定],0),MATCH("色番号",判定マスタTB[#Headers],0))</f>
        <v>#N/A</v>
      </c>
      <c r="P105" t="e">
        <f>INDEX(判定マスタTB[],MATCH(⑤受験可否判定,判定マスタTB[判定],0),MATCH("色",判定マスタTB[#Headers],0))</f>
        <v>#N/A</v>
      </c>
    </row>
    <row r="106" spans="1:16" ht="25.15" customHeight="1">
      <c r="A106" s="129" t="s">
        <v>163</v>
      </c>
      <c r="B106" s="129"/>
      <c r="C106" s="129"/>
      <c r="D106" s="129"/>
      <c r="E106" s="129"/>
      <c r="F106" s="129"/>
      <c r="G106" s="129"/>
      <c r="H106" s="129"/>
      <c r="I106" s="129"/>
    </row>
    <row r="107" spans="1:16" ht="27.75" customHeight="1">
      <c r="B107" s="11" t="s">
        <v>103</v>
      </c>
      <c r="C107" s="240" t="s">
        <v>164</v>
      </c>
      <c r="D107" s="240"/>
      <c r="E107" s="240"/>
      <c r="F107" s="240"/>
      <c r="G107" s="240"/>
      <c r="H107" s="240"/>
      <c r="I107" s="240"/>
      <c r="J107" s="240"/>
    </row>
    <row r="108" spans="1:16" ht="27.75" customHeight="1">
      <c r="B108" s="11" t="s">
        <v>121</v>
      </c>
      <c r="C108" s="240" t="s">
        <v>165</v>
      </c>
      <c r="D108" s="240"/>
      <c r="E108" s="240"/>
      <c r="F108" s="240"/>
      <c r="G108" s="240"/>
      <c r="H108" s="240"/>
      <c r="I108" s="240"/>
      <c r="J108" s="240"/>
    </row>
    <row r="109" spans="1:16" ht="23.25" customHeight="1"/>
  </sheetData>
  <sheetProtection algorithmName="SHA-512" hashValue="vPCjR3dN1IBrjsMQl8B1XWrWia6MhCm3V6w3sUdNsPzkgVfWsdyCMqInCHpk7ixNmMs7koDZ290HJ8wS+me7lA==" saltValue="sh/E4HlWWvNxRI50XdTMWg==" spinCount="100000" sheet="1" formatCells="0" formatColumns="0" formatRows="0" insertColumns="0" insertRows="0" insertHyperlinks="0" deleteColumns="0" deleteRows="0" sort="0" autoFilter="0" pivotTables="0"/>
  <mergeCells count="90">
    <mergeCell ref="D87:J87"/>
    <mergeCell ref="F89:H89"/>
    <mergeCell ref="I89:J89"/>
    <mergeCell ref="E103:F103"/>
    <mergeCell ref="E104:F104"/>
    <mergeCell ref="F90:H90"/>
    <mergeCell ref="I90:J90"/>
    <mergeCell ref="D91:J91"/>
    <mergeCell ref="E95:F95"/>
    <mergeCell ref="E100:F100"/>
    <mergeCell ref="G104:H104"/>
    <mergeCell ref="I100:J100"/>
    <mergeCell ref="B99:J99"/>
    <mergeCell ref="G100:H100"/>
    <mergeCell ref="G95:H95"/>
    <mergeCell ref="I104:J104"/>
    <mergeCell ref="F83:H83"/>
    <mergeCell ref="I83:J83"/>
    <mergeCell ref="F84:H84"/>
    <mergeCell ref="I84:J84"/>
    <mergeCell ref="D85:J86"/>
    <mergeCell ref="I57:J57"/>
    <mergeCell ref="I68:J68"/>
    <mergeCell ref="D69:J69"/>
    <mergeCell ref="C76:J76"/>
    <mergeCell ref="D63:J64"/>
    <mergeCell ref="D65:J65"/>
    <mergeCell ref="F67:H67"/>
    <mergeCell ref="I67:J67"/>
    <mergeCell ref="D57:H57"/>
    <mergeCell ref="D72:I72"/>
    <mergeCell ref="E26:J26"/>
    <mergeCell ref="B4:J4"/>
    <mergeCell ref="C5:J5"/>
    <mergeCell ref="B7:J7"/>
    <mergeCell ref="C8:J8"/>
    <mergeCell ref="B13:C13"/>
    <mergeCell ref="D10:J10"/>
    <mergeCell ref="A6:J6"/>
    <mergeCell ref="B23:J23"/>
    <mergeCell ref="B14:C14"/>
    <mergeCell ref="C33:J33"/>
    <mergeCell ref="F39:H39"/>
    <mergeCell ref="F40:H40"/>
    <mergeCell ref="I35:J35"/>
    <mergeCell ref="I39:J39"/>
    <mergeCell ref="I40:J40"/>
    <mergeCell ref="D35:H35"/>
    <mergeCell ref="I45:J45"/>
    <mergeCell ref="C54:J54"/>
    <mergeCell ref="C55:J55"/>
    <mergeCell ref="C36:J36"/>
    <mergeCell ref="F45:H45"/>
    <mergeCell ref="D47:J47"/>
    <mergeCell ref="D41:J42"/>
    <mergeCell ref="D43:J43"/>
    <mergeCell ref="I46:J46"/>
    <mergeCell ref="D50:I50"/>
    <mergeCell ref="C108:J108"/>
    <mergeCell ref="I103:J103"/>
    <mergeCell ref="C107:J107"/>
    <mergeCell ref="F68:H68"/>
    <mergeCell ref="C58:J58"/>
    <mergeCell ref="F61:H61"/>
    <mergeCell ref="I61:J61"/>
    <mergeCell ref="F62:H62"/>
    <mergeCell ref="I62:J62"/>
    <mergeCell ref="B97:J97"/>
    <mergeCell ref="B102:J102"/>
    <mergeCell ref="I96:J96"/>
    <mergeCell ref="C77:J77"/>
    <mergeCell ref="D79:H79"/>
    <mergeCell ref="I79:J79"/>
    <mergeCell ref="C80:J80"/>
    <mergeCell ref="D28:I28"/>
    <mergeCell ref="A3:J3"/>
    <mergeCell ref="C32:J32"/>
    <mergeCell ref="A1:J1"/>
    <mergeCell ref="I95:J95"/>
    <mergeCell ref="A9:J9"/>
    <mergeCell ref="D12:J12"/>
    <mergeCell ref="D13:J13"/>
    <mergeCell ref="D14:J14"/>
    <mergeCell ref="B15:C15"/>
    <mergeCell ref="D15:J15"/>
    <mergeCell ref="B22:J22"/>
    <mergeCell ref="C24:J24"/>
    <mergeCell ref="B12:C12"/>
    <mergeCell ref="D16:J16"/>
    <mergeCell ref="F46:H46"/>
  </mergeCells>
  <phoneticPr fontId="1"/>
  <conditionalFormatting sqref="D105">
    <cfRule type="containsText" dxfId="60" priority="1" operator="containsText" text="受験申請できません。">
      <formula>NOT(ISERROR(SEARCH("受験申請できません。",D105)))</formula>
    </cfRule>
    <cfRule type="expression" dxfId="59" priority="74">
      <formula>$O105=5</formula>
    </cfRule>
    <cfRule type="containsText" dxfId="58" priority="9" operator="containsText" text="証明書">
      <formula>NOT(ISERROR(SEARCH("証明書",D105)))</formula>
    </cfRule>
    <cfRule type="containsText" dxfId="57" priority="10" operator="containsText" text="誓約書">
      <formula>NOT(ISERROR(SEARCH("誓約書",D105)))</formula>
    </cfRule>
    <cfRule type="containsText" dxfId="56" priority="11" operator="containsText" text="受験申請可（シート【B】証明書を作成">
      <formula>NOT(ISERROR(SEARCH("受験申請可（シート【B】証明書を作成",D105)))</formula>
    </cfRule>
    <cfRule type="containsText" dxfId="55" priority="12" operator="containsText" text="受験申請可（シート【B】証明書を作成）">
      <formula>NOT(ISERROR(SEARCH("受験申請可（シート【B】証明書を作成）",D105)))</formula>
    </cfRule>
    <cfRule type="expression" dxfId="54" priority="76">
      <formula>$O105=6</formula>
    </cfRule>
    <cfRule type="expression" dxfId="53" priority="75">
      <formula>$O105=2</formula>
    </cfRule>
  </conditionalFormatting>
  <conditionalFormatting sqref="I95:J95">
    <cfRule type="expression" dxfId="52" priority="66">
      <formula>$O95=6</formula>
    </cfRule>
    <cfRule type="containsText" dxfId="51" priority="22" operator="containsText" text="受験申請できません。">
      <formula>NOT(ISERROR(SEARCH("受験申請できません。",I95)))</formula>
    </cfRule>
    <cfRule type="containsText" dxfId="50" priority="23" operator="containsText" text="試験日から６ヵ月以内に実務経験が完了する場合、受験申請できます。シートC誓約書を作成して下さい">
      <formula>NOT(ISERROR(SEARCH("試験日から６ヵ月以内に実務経験が完了する場合、受験申請できます。シートC誓約書を作成して下さい",I95)))</formula>
    </cfRule>
    <cfRule type="containsText" dxfId="49" priority="6" operator="containsText" text="政府が定める管理等実務経験を満たす予定である">
      <formula>NOT(ISERROR(SEARCH("政府が定める管理等実務経験を満たす予定である",I95)))</formula>
    </cfRule>
    <cfRule type="containsText" dxfId="48" priority="7" operator="containsText" text="6ヶ月以内に実務経験が完了する場合">
      <formula>NOT(ISERROR(SEARCH("6ヶ月以内に実務経験が完了する場合",I95)))</formula>
    </cfRule>
    <cfRule type="containsText" dxfId="47" priority="8" operator="containsText" text="受験申請できます">
      <formula>NOT(ISERROR(SEARCH("受験申請できます",I95)))</formula>
    </cfRule>
    <cfRule type="containsText" dxfId="46" priority="13" operator="containsText" text="試験日から６ヵ月以内に実務経験が完了">
      <formula>NOT(ISERROR(SEARCH("試験日から６ヵ月以内に実務経験が完了",I95)))</formula>
    </cfRule>
    <cfRule type="containsText" dxfId="45" priority="14" operator="containsText" text="受験申請できます。">
      <formula>NOT(ISERROR(SEARCH("受験申請できます。",I95)))</formula>
    </cfRule>
    <cfRule type="cellIs" dxfId="44" priority="24" operator="equal">
      <formula>"受験申請できます。シートBを作成して下さい"</formula>
    </cfRule>
    <cfRule type="expression" dxfId="43" priority="67">
      <formula>$O95=5</formula>
    </cfRule>
    <cfRule type="expression" dxfId="42" priority="72">
      <formula>$O95=2</formula>
    </cfRule>
  </conditionalFormatting>
  <conditionalFormatting sqref="I100:J100">
    <cfRule type="containsText" dxfId="41" priority="21" operator="containsText" text="該当しません">
      <formula>NOT(ISERROR(SEARCH("該当しません",I100)))</formula>
    </cfRule>
    <cfRule type="expression" dxfId="40" priority="63">
      <formula>$O100=6</formula>
    </cfRule>
    <cfRule type="expression" dxfId="39" priority="64">
      <formula>$O100=5</formula>
    </cfRule>
    <cfRule type="expression" dxfId="38" priority="65">
      <formula>$O100=2</formula>
    </cfRule>
    <cfRule type="containsText" dxfId="37" priority="17" operator="containsText" text="満たしません">
      <formula>NOT(ISERROR(SEARCH("満たしません",I100)))</formula>
    </cfRule>
    <cfRule type="containsText" dxfId="36" priority="18" operator="containsText" text="満たします">
      <formula>NOT(ISERROR(SEARCH("満たします",I100)))</formula>
    </cfRule>
    <cfRule type="containsText" dxfId="35" priority="20" operator="containsText" text="該当します">
      <formula>NOT(ISERROR(SEARCH("該当します",I100)))</formula>
    </cfRule>
  </conditionalFormatting>
  <conditionalFormatting sqref="I104:J104">
    <cfRule type="expression" dxfId="34" priority="60">
      <formula>$O104=6</formula>
    </cfRule>
    <cfRule type="expression" dxfId="33" priority="61">
      <formula>$O104=5</formula>
    </cfRule>
    <cfRule type="expression" dxfId="32" priority="62">
      <formula>$O104=2</formula>
    </cfRule>
    <cfRule type="containsText" dxfId="31" priority="19" operator="containsText" text="該当します">
      <formula>NOT(ISERROR(SEARCH("該当します",I104)))</formula>
    </cfRule>
    <cfRule type="containsText" dxfId="30" priority="16" operator="containsText" text="満たします">
      <formula>NOT(ISERROR(SEARCH("満たします",I104)))</formula>
    </cfRule>
    <cfRule type="containsText" dxfId="29" priority="15" operator="containsText" text="満たしません">
      <formula>NOT(ISERROR(SEARCH("満たしません",I104)))</formula>
    </cfRule>
  </conditionalFormatting>
  <conditionalFormatting sqref="N1:N1048576">
    <cfRule type="expression" dxfId="28" priority="44">
      <formula>$N1="入力必須"</formula>
    </cfRule>
    <cfRule type="expression" dxfId="27" priority="45">
      <formula>$N1="選択必須"</formula>
    </cfRule>
    <cfRule type="expression" dxfId="26" priority="87">
      <formula>$N1="チェック必須"</formula>
    </cfRule>
    <cfRule type="expression" dxfId="25" priority="88">
      <formula>$N1="OK"</formula>
    </cfRule>
  </conditionalFormatting>
  <conditionalFormatting sqref="N39 Q39 N45 Q45">
    <cfRule type="expression" dxfId="24" priority="43">
      <formula>業種="飲食料品製造業"</formula>
    </cfRule>
  </conditionalFormatting>
  <conditionalFormatting sqref="N40 Q40 N46 Q46">
    <cfRule type="expression" dxfId="23" priority="36">
      <formula>業種="外食業"</formula>
    </cfRule>
  </conditionalFormatting>
  <conditionalFormatting sqref="N61 Q61 N67 Q67">
    <cfRule type="expression" dxfId="22" priority="35">
      <formula>業種="飲食料品製造業"</formula>
    </cfRule>
  </conditionalFormatting>
  <conditionalFormatting sqref="N62 Q62 N68 Q68">
    <cfRule type="expression" dxfId="21" priority="28">
      <formula>業種="外食業"</formula>
    </cfRule>
  </conditionalFormatting>
  <conditionalFormatting sqref="N72:O73">
    <cfRule type="expression" dxfId="20" priority="26">
      <formula>企業B▼有フラグ=0</formula>
    </cfRule>
  </conditionalFormatting>
  <conditionalFormatting sqref="N50:Q70">
    <cfRule type="expression" dxfId="19" priority="27">
      <formula>企業B▼有フラグ=0</formula>
    </cfRule>
  </conditionalFormatting>
  <conditionalFormatting sqref="N72:Q82 N83:P84 N85:Q88 N89:P90 N91:Q92">
    <cfRule type="expression" dxfId="18" priority="25">
      <formula>企業C▼有フラグ=0</formula>
    </cfRule>
  </conditionalFormatting>
  <conditionalFormatting sqref="O19">
    <cfRule type="expression" dxfId="17" priority="116">
      <formula>$O19="OK"</formula>
    </cfRule>
    <cfRule type="expression" dxfId="16" priority="117">
      <formula>$O19="NG"</formula>
    </cfRule>
  </conditionalFormatting>
  <conditionalFormatting sqref="P28">
    <cfRule type="expression" dxfId="15" priority="2">
      <formula>$N28="入力必須"</formula>
    </cfRule>
    <cfRule type="expression" dxfId="14" priority="3">
      <formula>$N28="選択必須"</formula>
    </cfRule>
    <cfRule type="expression" dxfId="13" priority="4">
      <formula>$N28="チェック必須"</formula>
    </cfRule>
    <cfRule type="expression" dxfId="12" priority="5">
      <formula>$N28="OK"</formula>
    </cfRule>
  </conditionalFormatting>
  <conditionalFormatting sqref="Q83">
    <cfRule type="expression" dxfId="11" priority="34">
      <formula>業種="飲食料品製造業"</formula>
    </cfRule>
  </conditionalFormatting>
  <conditionalFormatting sqref="Q83:Q84">
    <cfRule type="expression" dxfId="10" priority="32">
      <formula>企業B▼有フラグ=0</formula>
    </cfRule>
  </conditionalFormatting>
  <conditionalFormatting sqref="Q84">
    <cfRule type="expression" dxfId="9" priority="33">
      <formula>業種="外食業"</formula>
    </cfRule>
  </conditionalFormatting>
  <conditionalFormatting sqref="Q89">
    <cfRule type="expression" dxfId="8" priority="31">
      <formula>業種="飲食料品製造業"</formula>
    </cfRule>
  </conditionalFormatting>
  <conditionalFormatting sqref="Q89:Q90">
    <cfRule type="expression" dxfId="7" priority="29">
      <formula>企業B▼有フラグ=0</formula>
    </cfRule>
  </conditionalFormatting>
  <conditionalFormatting sqref="Q90">
    <cfRule type="expression" dxfId="6" priority="30">
      <formula>業種="外食業"</formula>
    </cfRule>
  </conditionalFormatting>
  <dataValidations xWindow="536" yWindow="429" count="19">
    <dataValidation type="list" allowBlank="1" showInputMessage="1" showErrorMessage="1" sqref="D15:J15" xr:uid="{60B3F031-D69F-475D-9D14-6D951B46934D}">
      <formula1>INDIRECT("業種TB")</formula1>
    </dataValidation>
    <dataValidation type="list" showInputMessage="1" showErrorMessage="1" prompt="新規申請または実務経験終了による申請かをプルダウンメニューから選択して下さい。" sqref="D10:J10" xr:uid="{8AB7DAA6-730B-4C52-BAF6-E3E09B580C1A}">
      <formula1>INDIRECT("申請区分TB")</formula1>
    </dataValidation>
    <dataValidation allowBlank="1" showInputMessage="1" showErrorMessage="1" prompt="役職名の入力が必要です。_x000a_役職が○○長、リーダー等でない場合、_x000a_「(御社での役職呼称)は当社では役職者です」とe欄に記入下さい。_x000a_例　指導管理担当者は当社では役職者です。_x000a_役職が無い場合、給与台帳(管理業務、指導業務に対する加算項目にマーカーで明示)、辞令、職務命令書・業務命令書のいずれかの添付が必要。_x000a_" sqref="D35:H35 D57:H57 D79:H79" xr:uid="{53DFE620-EB94-4746-87F3-E1A788A92F6C}"/>
    <dataValidation allowBlank="1" showInputMessage="1" showErrorMessage="1" prompt="初めて受験者登録する場合、終了日は試験日前日までで設定して下さい。_x000a__x000a_受験時に、実務経験が1年６ヵ月以上２年未満で誓約書を提出して受験した者が、２年間の実務経験を終えた場合、実際に実務経験終了した日を記入して下さい。_x000a_" sqref="D74" xr:uid="{021145CC-A8DC-41CA-8469-FCCCE8FAEE10}"/>
    <dataValidation type="list" allowBlank="1" showInputMessage="1" showErrorMessage="1" sqref="D39:D40 D83:D84 D61:D62" xr:uid="{72B018CB-6D6A-445E-AFAF-08F4D6ED6575}">
      <formula1>INDIRECT(業種&amp;$C$38)</formula1>
    </dataValidation>
    <dataValidation type="list" allowBlank="1" showInputMessage="1" sqref="I61:J62 I39:J40 I83:J84" xr:uid="{24E0ADF8-B061-48CB-8A1C-50A4EB1A502B}">
      <formula1>INDIRECT(業種&amp;$C$38&amp;"_"&amp;$D39)</formula1>
    </dataValidation>
    <dataValidation type="list" allowBlank="1" showInputMessage="1" showErrorMessage="1" sqref="D45:D46 D89:D90 D67:D68" xr:uid="{E0CD116D-8A88-4865-A00C-459E41DC6DDA}">
      <formula1>INDIRECT(業種&amp;$C$44)</formula1>
    </dataValidation>
    <dataValidation type="list" allowBlank="1" showInputMessage="1" sqref="I45:J46" xr:uid="{91E39C02-305A-40CF-B318-7D637801A6C7}">
      <formula1>INDIRECT(業種&amp;$C$44&amp;"_"&amp;$D45)</formula1>
    </dataValidation>
    <dataValidation type="date" imeMode="disabled" operator="greaterThanOrEqual" allowBlank="1" showInputMessage="1" showErrorMessage="1" errorTitle="★入力値エラー★" error="YYYY/MM/DD形式で入力をお願いします。" promptTitle="★入力条件★" prompt="YYYY/MM/DD形式" sqref="D13:J13" xr:uid="{341A1817-2715-4C5B-BAF8-A44E781FF9C4}">
      <formula1>1</formula1>
    </dataValidation>
    <dataValidation type="date" imeMode="disabled" operator="greaterThanOrEqual" allowBlank="1" showInputMessage="1" showErrorMessage="1" errorTitle="★入力値エラー★" error="YYYY/MM/DD形式で入力してください。" promptTitle="★入力条件★" prompt="YYYY/MM/DD形式" sqref="D18" xr:uid="{C844C14B-4ABF-4DAD-9B0B-98B898E32498}">
      <formula1>1</formula1>
    </dataValidation>
    <dataValidation type="date" imeMode="disabled" operator="greaterThanOrEqual" allowBlank="1" showInputMessage="1" showErrorMessage="1" errorTitle="★入力値エラー★" error="YYYY/MM/DD形式で入力してください。" promptTitle="★入力条件★" prompt="OTAFFのHP_x000a_https://otaff1.jp/_x000a_の試験の予定から試験日を選んで記入して下さい。" sqref="D26" xr:uid="{7961FB45-F504-4961-96C5-C5BC74E3B314}">
      <formula1>1</formula1>
    </dataValidation>
    <dataValidation type="date" imeMode="disabled" operator="greaterThanOrEqual" allowBlank="1" showInputMessage="1" showErrorMessage="1" errorTitle="★入力値エラー★" error="YYYY/MM/DD形式で入力してください。" promptTitle="★入力条件★" prompt="yyyy/mm/dd形式" sqref="D29 D73 D51" xr:uid="{F34CFE9C-FBCB-4F24-9113-C88B52CEFB06}">
      <formula1>1</formula1>
    </dataValidation>
    <dataValidation type="whole" imeMode="disabled" operator="greaterThanOrEqual" allowBlank="1" showInputMessage="1" showErrorMessage="1" errorTitle="★入力値エラー★" error="2以上の数値を入力してください。" promptTitle="★入力条件★" prompt="2以上の数値" sqref="D37 D59 D81" xr:uid="{B2128593-2FEB-450B-B844-A029F403CD60}">
      <formula1>2</formula1>
    </dataValidation>
    <dataValidation type="custom" imeMode="disabled" allowBlank="1" showInputMessage="1" showErrorMessage="1" errorTitle="★入力値エラー★" error="半角英字と半角スペースのみ可_x000a_例：「A」と「a」は可○_x000a_例：「Ａ」と「ａ」は不可×" promptTitle="★入力条件★" prompt="半角英字と半角スペースのみ可_x000a_例：「A」と「a」は可○_x000a_例：「Ａ」と「ａ」は不可×_x000a_" sqref="D12:J12" xr:uid="{7551237D-E2A5-4CD9-A219-788CD0C3B6C5}">
      <formula1>IFERROR(SUM(FIND(MID(D12,ROW(INDIRECT("1:"&amp;LEN(D12))),1),"ABCDEFGHIJKLMNOPQRSTUVWXYZ abcdefghijklmnopqrstuvwxyz"))&gt;0,FALSE)</formula1>
    </dataValidation>
    <dataValidation type="date" imeMode="disabled" operator="greaterThanOrEqual" allowBlank="1" showInputMessage="1" showErrorMessage="1" prompt="初めて受験者登録する場合、終了日は試験日前日までで設定して下さい。_x000a__x000a_受験時に、実務経験が1年６ヵ月以上２年未満で誓約書を提出して受験した者が、２年間の実務経験を終えた場合、実際に実務経験終了した日を記入して下さい。_x000a_" sqref="D30" xr:uid="{F261980F-6AB8-4936-9DC4-9F0EE68BC169}">
      <formula1>1</formula1>
    </dataValidation>
    <dataValidation type="list" allowBlank="1" showInputMessage="1" sqref="I67:J68" xr:uid="{9210E26E-2641-4F65-B4C8-F682F4438EF3}">
      <formula1>INDIRECT(業種&amp;$C$66&amp;"_"&amp;$D67)</formula1>
    </dataValidation>
    <dataValidation type="list" allowBlank="1" showInputMessage="1" sqref="I89:J90" xr:uid="{D6E59389-0714-4FE5-AF6A-F2D2A8B138F9}">
      <formula1>INDIRECT(業種&amp;$C$88&amp;"_"&amp;$D89)</formula1>
    </dataValidation>
    <dataValidation imeMode="disabled" allowBlank="1" showInputMessage="1" showErrorMessage="1" prompt="初めて受験者登録する場合、終了日は試験日前日までで設定して下さい。_x000a__x000a_受験時に、実務経験が1年６ヵ月以上２年未満で誓約書を提出して受験した者が、２年間の実務経験を終えた場合、実際に実務経験終了した日を記入して下さい。_x000a_" sqref="D52" xr:uid="{C03E9E80-BE88-4709-A67F-6DA45D77427F}"/>
    <dataValidation type="list" allowBlank="1" showInputMessage="1" sqref="I48:J48 I70:J70 I92:J92" xr:uid="{50601D50-BDEC-45AB-9805-20D6432D81C4}">
      <formula1>INDIRECT(業種&amp;$D$44&amp;"_"&amp;$E48)</formula1>
    </dataValidation>
  </dataValidations>
  <printOptions horizontalCentered="1" verticalCentered="1"/>
  <pageMargins left="0.19685039370078741" right="0.19685039370078741" top="0" bottom="0" header="0" footer="0"/>
  <pageSetup paperSize="8" scale="40" orientation="portrait" r:id="rId1"/>
  <extLst>
    <ext xmlns:x14="http://schemas.microsoft.com/office/spreadsheetml/2009/9/main" uri="{CCE6A557-97BC-4b89-ADB6-D9C93CAAB3DF}">
      <x14:dataValidations xmlns:xm="http://schemas.microsoft.com/office/excel/2006/main" xWindow="536" yWindow="429" count="1">
        <x14:dataValidation type="list" allowBlank="1" showInputMessage="1" showErrorMessage="1" xr:uid="{B786899A-030D-4AEA-8826-7D216CDD064C}">
          <x14:formula1>
            <xm:f>設定リスト!$A$5:$A$6</xm:f>
          </x14:formula1>
          <xm:sqref>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ADB9-3B10-4250-B7D5-76E0B8CADF0B}">
  <sheetPr codeName="Sheet3">
    <pageSetUpPr fitToPage="1"/>
  </sheetPr>
  <dimension ref="A1:M72"/>
  <sheetViews>
    <sheetView showGridLines="0" showZeros="0" topLeftCell="A58" zoomScaleNormal="100" zoomScaleSheetLayoutView="100" workbookViewId="0">
      <selection sqref="A1:J1"/>
    </sheetView>
  </sheetViews>
  <sheetFormatPr defaultColWidth="20.625" defaultRowHeight="25.15" customHeight="1"/>
  <cols>
    <col min="1" max="1" width="3.125" customWidth="1"/>
    <col min="2" max="2" width="8.125" customWidth="1"/>
    <col min="3" max="3" width="25.625" customWidth="1"/>
    <col min="4" max="4" width="16.625" customWidth="1"/>
    <col min="5" max="5" width="4.625" customWidth="1"/>
    <col min="6" max="6" width="20.625" customWidth="1"/>
    <col min="7" max="7" width="16.625" customWidth="1"/>
    <col min="8" max="9" width="4.625" customWidth="1"/>
    <col min="10" max="10" width="21.125" customWidth="1"/>
    <col min="11" max="12" width="2.625" customWidth="1"/>
    <col min="13" max="13" width="20.625" style="167"/>
  </cols>
  <sheetData>
    <row r="1" spans="1:10" ht="25.15" customHeight="1">
      <c r="A1" s="275" t="str">
        <f>IF(【A】実務経験要件判定シート!D15="飲食料品製造業","管理等実務経験証明書(飲食料品製造業用)","指導等実務経験証明書（外食業用）")</f>
        <v>指導等実務経験証明書（外食業用）</v>
      </c>
      <c r="B1" s="275"/>
      <c r="C1" s="275"/>
      <c r="D1" s="275"/>
      <c r="E1" s="275"/>
      <c r="F1" s="275"/>
      <c r="G1" s="275"/>
      <c r="H1" s="275"/>
      <c r="I1" s="275"/>
      <c r="J1" s="275"/>
    </row>
    <row r="2" spans="1:10" ht="25.15" customHeight="1">
      <c r="A2" s="277" t="s">
        <v>166</v>
      </c>
      <c r="B2" s="277"/>
      <c r="C2" s="277"/>
      <c r="D2" s="277"/>
      <c r="E2" s="277"/>
      <c r="F2" s="277"/>
      <c r="G2" s="277"/>
      <c r="H2" s="277"/>
      <c r="I2" s="277"/>
      <c r="J2" s="277"/>
    </row>
    <row r="3" spans="1:10" ht="50.1" customHeight="1">
      <c r="A3" s="278" t="s">
        <v>167</v>
      </c>
      <c r="B3" s="278"/>
      <c r="C3" s="278"/>
      <c r="D3" s="278"/>
      <c r="E3" s="278"/>
      <c r="F3" s="278"/>
      <c r="G3" s="278"/>
      <c r="H3" s="278"/>
      <c r="I3" s="278"/>
      <c r="J3" s="278"/>
    </row>
    <row r="4" spans="1:10" ht="21.75" customHeight="1">
      <c r="A4" s="73"/>
      <c r="B4" s="73"/>
      <c r="C4" s="73"/>
      <c r="D4" s="73"/>
      <c r="E4" s="73"/>
      <c r="F4" s="73"/>
      <c r="G4" s="73"/>
      <c r="H4" s="73"/>
      <c r="I4" s="73"/>
      <c r="J4" s="73"/>
    </row>
    <row r="5" spans="1:10" ht="30" customHeight="1">
      <c r="A5" s="208" t="s">
        <v>168</v>
      </c>
      <c r="B5" s="276"/>
      <c r="C5" s="276"/>
      <c r="D5" s="276"/>
      <c r="E5" s="276"/>
      <c r="F5" s="276"/>
      <c r="G5" s="276"/>
      <c r="H5" s="276"/>
      <c r="I5" s="276"/>
      <c r="J5" s="276"/>
    </row>
    <row r="6" spans="1:10" ht="55.35" customHeight="1">
      <c r="A6" s="62"/>
      <c r="B6" s="193" t="s">
        <v>169</v>
      </c>
      <c r="C6" s="193"/>
      <c r="D6" s="193"/>
      <c r="E6" s="193"/>
      <c r="F6" s="193"/>
      <c r="G6" s="193"/>
      <c r="H6" s="193"/>
      <c r="I6" s="193"/>
      <c r="J6" s="193"/>
    </row>
    <row r="7" spans="1:10" ht="17.850000000000001" customHeight="1">
      <c r="A7" s="279" t="s">
        <v>170</v>
      </c>
      <c r="B7" s="279"/>
      <c r="C7" s="279"/>
      <c r="D7" s="279"/>
      <c r="E7" s="279"/>
      <c r="F7" s="279"/>
      <c r="G7" s="279"/>
      <c r="H7" s="279"/>
      <c r="I7" s="279"/>
      <c r="J7" s="279"/>
    </row>
    <row r="8" spans="1:10" ht="12" customHeight="1">
      <c r="A8" s="72"/>
      <c r="B8" s="72"/>
      <c r="C8" s="72"/>
      <c r="D8" s="72"/>
      <c r="E8" s="72"/>
      <c r="F8" s="72"/>
      <c r="G8" s="72"/>
      <c r="H8" s="72"/>
      <c r="I8" s="72"/>
      <c r="J8" s="72"/>
    </row>
    <row r="9" spans="1:10" ht="25.15" customHeight="1">
      <c r="A9" s="7" t="s">
        <v>171</v>
      </c>
      <c r="B9" s="2"/>
      <c r="C9" s="2"/>
      <c r="D9" s="3"/>
      <c r="E9" s="2"/>
      <c r="F9" s="2"/>
      <c r="G9" s="2"/>
      <c r="H9" s="2"/>
      <c r="I9" s="2"/>
      <c r="J9" s="2"/>
    </row>
    <row r="10" spans="1:10" ht="25.15" customHeight="1">
      <c r="A10" s="2"/>
      <c r="B10" s="192" t="s">
        <v>8</v>
      </c>
      <c r="C10" s="192"/>
      <c r="D10" s="269" t="str">
        <f>IF(【A】実務経験要件判定シート!名前="","",【A】実務経験要件判定シート!名前)</f>
        <v/>
      </c>
      <c r="E10" s="270"/>
      <c r="F10" s="270"/>
      <c r="G10" s="270"/>
      <c r="H10" s="270"/>
      <c r="I10" s="270"/>
      <c r="J10" s="271"/>
    </row>
    <row r="11" spans="1:10" ht="25.15" customHeight="1">
      <c r="A11" s="2"/>
      <c r="B11" s="192" t="s">
        <v>10</v>
      </c>
      <c r="C11" s="204"/>
      <c r="D11" s="272" t="str">
        <f>IF(【A】実務経験要件判定シート!生年月日="","",【A】実務経験要件判定シート!生年月日)</f>
        <v/>
      </c>
      <c r="E11" s="273"/>
      <c r="F11" s="273"/>
      <c r="G11" s="273"/>
      <c r="H11" s="273"/>
      <c r="I11" s="273"/>
      <c r="J11" s="274"/>
    </row>
    <row r="12" spans="1:10" ht="25.15" customHeight="1">
      <c r="A12" s="2"/>
      <c r="B12" s="192" t="s">
        <v>11</v>
      </c>
      <c r="C12" s="192"/>
      <c r="D12" s="269" t="str">
        <f>IF(【A】実務経験要件判定シート!国籍▼地域="","",【A】実務経験要件判定シート!国籍▼地域)</f>
        <v/>
      </c>
      <c r="E12" s="270"/>
      <c r="F12" s="270"/>
      <c r="G12" s="270"/>
      <c r="H12" s="270"/>
      <c r="I12" s="270"/>
      <c r="J12" s="271"/>
    </row>
    <row r="13" spans="1:10" ht="25.15" customHeight="1">
      <c r="A13" s="2"/>
      <c r="B13" s="192" t="s">
        <v>172</v>
      </c>
      <c r="C13" s="192"/>
      <c r="D13" s="269" t="str">
        <f>IF(業種="","",業種)</f>
        <v/>
      </c>
      <c r="E13" s="270"/>
      <c r="F13" s="270"/>
      <c r="G13" s="270"/>
      <c r="H13" s="270"/>
      <c r="I13" s="270"/>
      <c r="J13" s="271"/>
    </row>
    <row r="14" spans="1:10" ht="12" customHeight="1">
      <c r="A14" s="2"/>
      <c r="B14" s="15"/>
      <c r="C14" s="15"/>
      <c r="D14" s="3"/>
      <c r="E14" s="3"/>
      <c r="F14" s="3"/>
      <c r="G14" s="3"/>
      <c r="H14" s="3"/>
      <c r="I14" s="3"/>
      <c r="J14" s="3"/>
    </row>
    <row r="15" spans="1:10" ht="25.15" customHeight="1">
      <c r="A15" s="7" t="s">
        <v>173</v>
      </c>
      <c r="B15" s="7"/>
      <c r="C15" s="7"/>
      <c r="D15" s="7"/>
      <c r="E15" s="7"/>
      <c r="F15" s="7"/>
      <c r="G15" s="7"/>
      <c r="H15" s="7"/>
      <c r="I15" s="8"/>
      <c r="J15" s="2"/>
    </row>
    <row r="16" spans="1:10" ht="25.15" customHeight="1">
      <c r="A16" s="7"/>
      <c r="B16" s="8" t="s">
        <v>174</v>
      </c>
      <c r="C16" s="8"/>
      <c r="D16" s="8"/>
      <c r="E16" s="8"/>
      <c r="F16" s="8"/>
      <c r="G16" s="8"/>
      <c r="H16" s="8"/>
      <c r="I16" s="8"/>
      <c r="J16" s="2"/>
    </row>
    <row r="17" spans="1:10" ht="25.15" customHeight="1">
      <c r="A17" s="2"/>
      <c r="B17" s="2"/>
      <c r="C17" s="2"/>
      <c r="D17" s="272" t="str">
        <f>IF(【A】実務経験要件判定シート!許可を受けた日="","",【A】実務経験要件判定シート!許可を受けた日)</f>
        <v/>
      </c>
      <c r="E17" s="273"/>
      <c r="F17" s="273"/>
      <c r="G17" s="273"/>
      <c r="H17" s="273"/>
      <c r="I17" s="273"/>
      <c r="J17" s="274"/>
    </row>
    <row r="18" spans="1:10" ht="12" customHeight="1">
      <c r="A18" s="2"/>
      <c r="B18" s="2"/>
      <c r="C18" s="2"/>
      <c r="D18" s="3"/>
      <c r="E18" s="2"/>
      <c r="F18" s="2"/>
      <c r="G18" s="2"/>
      <c r="H18" s="2"/>
      <c r="I18" s="2"/>
      <c r="J18" s="2"/>
    </row>
    <row r="19" spans="1:10" ht="25.15" customHeight="1">
      <c r="A19" s="7"/>
      <c r="B19" s="213" t="s">
        <v>175</v>
      </c>
      <c r="C19" s="213"/>
      <c r="D19" s="213"/>
      <c r="E19" s="2"/>
      <c r="F19" s="2"/>
      <c r="G19" s="2"/>
      <c r="H19" s="2"/>
      <c r="I19" s="2"/>
      <c r="J19" s="2"/>
    </row>
    <row r="20" spans="1:10" ht="25.15" customHeight="1">
      <c r="A20" s="2"/>
      <c r="B20" s="2" t="s">
        <v>176</v>
      </c>
      <c r="C20" s="75" t="s">
        <v>177</v>
      </c>
      <c r="D20" s="265" t="str">
        <f>IF(【A】実務経験要件判定シート!D28="","",【A】実務経験要件判定シート!D28)</f>
        <v/>
      </c>
      <c r="E20" s="266"/>
      <c r="F20" s="266"/>
      <c r="G20" s="266"/>
      <c r="H20" s="266"/>
      <c r="I20" s="266"/>
      <c r="J20" s="267"/>
    </row>
    <row r="21" spans="1:10" ht="25.15" customHeight="1">
      <c r="A21" s="2"/>
      <c r="B21" s="69"/>
      <c r="C21" s="2" t="s">
        <v>178</v>
      </c>
      <c r="D21" s="120" t="str">
        <f>IF(【A】実務経験要件判定シート!企業A▼開始日="","",【A】実務経験要件判定シート!企業A▼開始日)</f>
        <v/>
      </c>
    </row>
    <row r="22" spans="1:10" ht="25.15" customHeight="1">
      <c r="A22" s="2"/>
      <c r="B22" s="69"/>
      <c r="C22" s="2" t="s">
        <v>179</v>
      </c>
      <c r="D22" s="121" t="str">
        <f>IF(【A】実務経験要件判定シート!企業A▼終了日="","",【A】実務経験要件判定シート!企業A▼終了日)</f>
        <v/>
      </c>
    </row>
    <row r="23" spans="1:10" ht="25.15" customHeight="1">
      <c r="A23" s="2"/>
      <c r="B23" s="69"/>
      <c r="C23" s="75" t="s">
        <v>180</v>
      </c>
      <c r="D23" s="121" t="str">
        <f>IF(【A】実務経験要件判定シート!D34="","",【A】実務経験要件判定シート!D34)</f>
        <v/>
      </c>
    </row>
    <row r="24" spans="1:10" ht="25.15" customHeight="1">
      <c r="C24" s="75" t="s">
        <v>181</v>
      </c>
      <c r="D24" s="265" t="str">
        <f>IF(【A】実務経験要件判定シート!D35="","",【A】実務経験要件判定シート!D35)</f>
        <v/>
      </c>
      <c r="E24" s="266"/>
      <c r="F24" s="266"/>
      <c r="G24" s="266"/>
      <c r="H24" s="266"/>
      <c r="I24" s="266"/>
      <c r="J24" s="267"/>
    </row>
    <row r="25" spans="1:10" ht="25.15" customHeight="1">
      <c r="C25" s="75" t="s">
        <v>182</v>
      </c>
    </row>
    <row r="26" spans="1:10" ht="25.15" customHeight="1">
      <c r="C26" s="75" t="s">
        <v>183</v>
      </c>
      <c r="D26" s="122" t="str">
        <f>IF(【A】実務経験要件判定シート!D37="","",【A】実務経験要件判定シート!D37)</f>
        <v/>
      </c>
    </row>
    <row r="27" spans="1:10" ht="25.15" customHeight="1">
      <c r="C27" s="75" t="s">
        <v>184</v>
      </c>
    </row>
    <row r="28" spans="1:10" ht="25.15" customHeight="1">
      <c r="C28" s="119" t="s">
        <v>135</v>
      </c>
      <c r="D28" s="122" t="str">
        <f>IF(【A】実務経験要件判定シート!D39="","",【A】実務経験要件判定シート!D39)</f>
        <v/>
      </c>
      <c r="F28" s="11" t="s">
        <v>136</v>
      </c>
      <c r="G28" s="264" t="str">
        <f>IF(【A】実務経験要件判定シート!I39="","",【A】実務経験要件判定シート!I39)</f>
        <v/>
      </c>
      <c r="H28" s="264"/>
      <c r="I28" s="264"/>
      <c r="J28" s="264"/>
    </row>
    <row r="29" spans="1:10" ht="25.15" customHeight="1">
      <c r="C29" s="119" t="s">
        <v>135</v>
      </c>
      <c r="D29" s="122" t="str">
        <f>IF(【A】実務経験要件判定シート!D40="","",【A】実務経験要件判定シート!D40)</f>
        <v/>
      </c>
      <c r="F29" s="11" t="s">
        <v>136</v>
      </c>
      <c r="G29" s="264" t="str">
        <f>IF(【A】実務経験要件判定シート!I40="","",【A】実務経験要件判定シート!I40)</f>
        <v/>
      </c>
      <c r="H29" s="264"/>
      <c r="I29" s="264"/>
      <c r="J29" s="264"/>
    </row>
    <row r="30" spans="1:10" ht="25.15" customHeight="1">
      <c r="C30" s="75" t="s">
        <v>185</v>
      </c>
    </row>
    <row r="31" spans="1:10" ht="25.15" customHeight="1">
      <c r="C31" s="119" t="s">
        <v>135</v>
      </c>
      <c r="D31" s="122" t="str">
        <f>IF(【A】実務経験要件判定シート!D45="","",【A】実務経験要件判定シート!D45)</f>
        <v/>
      </c>
      <c r="F31" s="11" t="s">
        <v>136</v>
      </c>
      <c r="G31" s="264" t="str">
        <f>IF(【A】実務経験要件判定シート!I45="","",【A】実務経験要件判定シート!I45)</f>
        <v/>
      </c>
      <c r="H31" s="264"/>
      <c r="I31" s="264"/>
      <c r="J31" s="264"/>
    </row>
    <row r="32" spans="1:10" ht="25.15" customHeight="1">
      <c r="C32" s="119" t="s">
        <v>135</v>
      </c>
      <c r="D32" s="122" t="str">
        <f>IF(【A】実務経験要件判定シート!D46="","",【A】実務経験要件判定シート!D46)</f>
        <v/>
      </c>
      <c r="F32" s="11" t="s">
        <v>136</v>
      </c>
      <c r="G32" s="264" t="str">
        <f>IF(【A】実務経験要件判定シート!I46="","",【A】実務経験要件判定シート!I46)</f>
        <v/>
      </c>
      <c r="H32" s="264"/>
      <c r="I32" s="264"/>
      <c r="J32" s="264"/>
    </row>
    <row r="33" spans="1:10" ht="12" customHeight="1"/>
    <row r="34" spans="1:10" ht="25.15" customHeight="1">
      <c r="A34" s="2"/>
      <c r="B34" s="2" t="s">
        <v>186</v>
      </c>
      <c r="C34" s="75" t="s">
        <v>177</v>
      </c>
      <c r="D34" s="265" t="str">
        <f>IF(【A】実務経験要件判定シート!D50="","",【A】実務経験要件判定シート!D50)</f>
        <v/>
      </c>
      <c r="E34" s="266"/>
      <c r="F34" s="266"/>
      <c r="G34" s="266"/>
      <c r="H34" s="266"/>
      <c r="I34" s="266"/>
      <c r="J34" s="267"/>
    </row>
    <row r="35" spans="1:10" ht="25.15" customHeight="1">
      <c r="A35" s="2"/>
      <c r="B35" s="69"/>
      <c r="C35" s="2" t="s">
        <v>178</v>
      </c>
      <c r="D35" s="120" t="str">
        <f>IF(【A】実務経験要件判定シート!企業B▼開始日="","",【A】実務経験要件判定シート!企業B▼開始日)</f>
        <v/>
      </c>
    </row>
    <row r="36" spans="1:10" ht="25.15" customHeight="1">
      <c r="A36" s="2"/>
      <c r="B36" s="69"/>
      <c r="C36" s="2" t="s">
        <v>179</v>
      </c>
      <c r="D36" s="121" t="str">
        <f>IF(【A】実務経験要件判定シート!企業B▼終了日="","",【A】実務経験要件判定シート!企業B▼終了日)</f>
        <v/>
      </c>
    </row>
    <row r="37" spans="1:10" ht="25.15" customHeight="1">
      <c r="A37" s="2"/>
      <c r="B37" s="69"/>
      <c r="C37" s="75" t="s">
        <v>180</v>
      </c>
      <c r="D37" s="121" t="str">
        <f>IF(【A】実務経験要件判定シート!D56="","",【A】実務経験要件判定シート!D56)</f>
        <v/>
      </c>
    </row>
    <row r="38" spans="1:10" ht="25.15" customHeight="1">
      <c r="C38" s="75" t="s">
        <v>181</v>
      </c>
      <c r="D38" s="265" t="str">
        <f>IF(【A】実務経験要件判定シート!D57="","",【A】実務経験要件判定シート!D57)</f>
        <v/>
      </c>
      <c r="E38" s="266"/>
      <c r="F38" s="266"/>
      <c r="G38" s="266"/>
      <c r="H38" s="266"/>
      <c r="I38" s="266"/>
      <c r="J38" s="267"/>
    </row>
    <row r="39" spans="1:10" ht="25.15" customHeight="1">
      <c r="C39" s="75" t="s">
        <v>182</v>
      </c>
    </row>
    <row r="40" spans="1:10" ht="25.15" customHeight="1">
      <c r="C40" s="75" t="s">
        <v>183</v>
      </c>
      <c r="D40" s="122" t="str">
        <f>IF(【A】実務経験要件判定シート!D59="","",【A】実務経験要件判定シート!D59)</f>
        <v/>
      </c>
    </row>
    <row r="41" spans="1:10" ht="25.15" customHeight="1">
      <c r="C41" s="75" t="s">
        <v>184</v>
      </c>
    </row>
    <row r="42" spans="1:10" ht="25.15" customHeight="1">
      <c r="C42" s="119" t="s">
        <v>135</v>
      </c>
      <c r="D42" s="122" t="str">
        <f>IF(【A】実務経験要件判定シート!D61="","",【A】実務経験要件判定シート!D61)</f>
        <v/>
      </c>
      <c r="F42" s="11" t="s">
        <v>136</v>
      </c>
      <c r="G42" s="264" t="str">
        <f>IF(【A】実務経験要件判定シート!I61="","",【A】実務経験要件判定シート!I61)</f>
        <v/>
      </c>
      <c r="H42" s="264"/>
      <c r="I42" s="264"/>
      <c r="J42" s="264"/>
    </row>
    <row r="43" spans="1:10" ht="25.15" customHeight="1">
      <c r="C43" s="119" t="s">
        <v>135</v>
      </c>
      <c r="D43" s="122" t="str">
        <f>IF(【A】実務経験要件判定シート!D62="","",【A】実務経験要件判定シート!D62)</f>
        <v/>
      </c>
      <c r="F43" s="11" t="s">
        <v>136</v>
      </c>
      <c r="G43" s="264" t="str">
        <f>IF(【A】実務経験要件判定シート!I62="","",【A】実務経験要件判定シート!I62)</f>
        <v/>
      </c>
      <c r="H43" s="264"/>
      <c r="I43" s="264"/>
      <c r="J43" s="264"/>
    </row>
    <row r="44" spans="1:10" ht="25.15" customHeight="1">
      <c r="C44" s="75" t="s">
        <v>185</v>
      </c>
    </row>
    <row r="45" spans="1:10" ht="25.15" customHeight="1">
      <c r="C45" s="119" t="s">
        <v>135</v>
      </c>
      <c r="D45" s="122" t="str">
        <f>IF(【A】実務経験要件判定シート!D67="","",【A】実務経験要件判定シート!D67)</f>
        <v/>
      </c>
      <c r="F45" s="11" t="s">
        <v>136</v>
      </c>
      <c r="G45" s="264" t="str">
        <f>IF(【A】実務経験要件判定シート!I67="","",【A】実務経験要件判定シート!I67)</f>
        <v/>
      </c>
      <c r="H45" s="264"/>
      <c r="I45" s="264"/>
      <c r="J45" s="264"/>
    </row>
    <row r="46" spans="1:10" ht="25.15" customHeight="1">
      <c r="C46" s="119" t="s">
        <v>135</v>
      </c>
      <c r="D46" s="122" t="str">
        <f>IF(【A】実務経験要件判定シート!D68="","",【A】実務経験要件判定シート!D68)</f>
        <v/>
      </c>
      <c r="F46" s="11" t="s">
        <v>136</v>
      </c>
      <c r="G46" s="264" t="str">
        <f>IF(【A】実務経験要件判定シート!I68="","",【A】実務経験要件判定シート!I68)</f>
        <v/>
      </c>
      <c r="H46" s="264"/>
      <c r="I46" s="264"/>
      <c r="J46" s="264"/>
    </row>
    <row r="47" spans="1:10" ht="12" customHeight="1"/>
    <row r="48" spans="1:10" ht="25.15" customHeight="1">
      <c r="A48" s="2"/>
      <c r="B48" s="2" t="s">
        <v>187</v>
      </c>
      <c r="C48" s="75" t="s">
        <v>177</v>
      </c>
      <c r="D48" s="265" t="str">
        <f>IF(【A】実務経験要件判定シート!D72="","",【A】実務経験要件判定シート!D72)</f>
        <v/>
      </c>
      <c r="E48" s="266"/>
      <c r="F48" s="266"/>
      <c r="G48" s="266"/>
      <c r="H48" s="266"/>
      <c r="I48" s="266"/>
      <c r="J48" s="267"/>
    </row>
    <row r="49" spans="1:10" ht="25.15" customHeight="1">
      <c r="A49" s="2"/>
      <c r="B49" s="69"/>
      <c r="C49" s="2" t="s">
        <v>178</v>
      </c>
      <c r="D49" s="120" t="str">
        <f>IF(【A】実務経験要件判定シート!企業C▼開始日="","",【A】実務経験要件判定シート!企業C▼開始日)</f>
        <v/>
      </c>
    </row>
    <row r="50" spans="1:10" ht="25.15" customHeight="1">
      <c r="A50" s="2"/>
      <c r="B50" s="69"/>
      <c r="C50" s="2" t="s">
        <v>179</v>
      </c>
      <c r="D50" s="121" t="str">
        <f>IF(【A】実務経験要件判定シート!企業C▼終了日="","",【A】実務経験要件判定シート!企業C▼終了日)</f>
        <v/>
      </c>
    </row>
    <row r="51" spans="1:10" ht="25.15" customHeight="1">
      <c r="A51" s="2"/>
      <c r="B51" s="69"/>
      <c r="C51" s="75" t="s">
        <v>180</v>
      </c>
      <c r="D51" s="121" t="str">
        <f>IF(【A】実務経験要件判定シート!D78="","",【A】実務経験要件判定シート!D78)</f>
        <v/>
      </c>
      <c r="E51" s="20"/>
      <c r="F51" s="10"/>
      <c r="G51" s="2"/>
      <c r="H51" s="2"/>
      <c r="I51" s="2"/>
      <c r="J51" s="2"/>
    </row>
    <row r="52" spans="1:10" ht="25.15" customHeight="1">
      <c r="C52" s="75" t="s">
        <v>181</v>
      </c>
      <c r="D52" s="265" t="str">
        <f>IF(【A】実務経験要件判定シート!D79="","",【A】実務経験要件判定シート!D79)</f>
        <v/>
      </c>
      <c r="E52" s="266"/>
      <c r="F52" s="266"/>
      <c r="G52" s="266"/>
      <c r="H52" s="266"/>
      <c r="I52" s="266"/>
      <c r="J52" s="267"/>
    </row>
    <row r="53" spans="1:10" ht="25.15" customHeight="1">
      <c r="C53" s="75" t="s">
        <v>182</v>
      </c>
    </row>
    <row r="54" spans="1:10" ht="25.15" customHeight="1">
      <c r="C54" s="75" t="s">
        <v>183</v>
      </c>
      <c r="D54" s="122" t="str">
        <f>IF(【A】実務経験要件判定シート!D81="","",【A】実務経験要件判定シート!D81)</f>
        <v/>
      </c>
    </row>
    <row r="55" spans="1:10" ht="25.15" customHeight="1">
      <c r="C55" s="75" t="s">
        <v>184</v>
      </c>
    </row>
    <row r="56" spans="1:10" ht="25.15" customHeight="1">
      <c r="C56" s="119" t="s">
        <v>135</v>
      </c>
      <c r="D56" s="122" t="str">
        <f>IF(【A】実務経験要件判定シート!D83="","",【A】実務経験要件判定シート!D83)</f>
        <v/>
      </c>
      <c r="F56" s="11" t="s">
        <v>136</v>
      </c>
      <c r="G56" s="264" t="str">
        <f>IF(【A】実務経験要件判定シート!I83="","",【A】実務経験要件判定シート!I83)</f>
        <v/>
      </c>
      <c r="H56" s="264"/>
      <c r="I56" s="264"/>
      <c r="J56" s="264"/>
    </row>
    <row r="57" spans="1:10" ht="25.15" customHeight="1">
      <c r="C57" s="119" t="s">
        <v>135</v>
      </c>
      <c r="D57" s="122" t="str">
        <f>IF(【A】実務経験要件判定シート!D84="","",【A】実務経験要件判定シート!D84)</f>
        <v/>
      </c>
      <c r="F57" s="11" t="s">
        <v>136</v>
      </c>
      <c r="G57" s="264" t="str">
        <f>IF(【A】実務経験要件判定シート!I84="","",【A】実務経験要件判定シート!I84)</f>
        <v/>
      </c>
      <c r="H57" s="264"/>
      <c r="I57" s="264"/>
      <c r="J57" s="264"/>
    </row>
    <row r="58" spans="1:10" ht="25.15" customHeight="1">
      <c r="C58" s="75" t="s">
        <v>185</v>
      </c>
    </row>
    <row r="59" spans="1:10" ht="25.15" customHeight="1">
      <c r="C59" s="119" t="s">
        <v>135</v>
      </c>
      <c r="D59" s="122" t="str">
        <f>IF(【A】実務経験要件判定シート!D89="","",【A】実務経験要件判定シート!D89)</f>
        <v/>
      </c>
      <c r="F59" s="11" t="s">
        <v>136</v>
      </c>
      <c r="G59" s="264" t="str">
        <f>IF(【A】実務経験要件判定シート!I89="","",【A】実務経験要件判定シート!I89)</f>
        <v/>
      </c>
      <c r="H59" s="264"/>
      <c r="I59" s="264"/>
      <c r="J59" s="264"/>
    </row>
    <row r="60" spans="1:10" ht="25.15" customHeight="1">
      <c r="C60" s="119" t="s">
        <v>135</v>
      </c>
      <c r="D60" s="122" t="str">
        <f>IF(【A】実務経験要件判定シート!D90="","",【A】実務経験要件判定シート!D90)</f>
        <v/>
      </c>
      <c r="F60" s="11" t="s">
        <v>136</v>
      </c>
      <c r="G60" s="264" t="str">
        <f>IF(【A】実務経験要件判定シート!I90="","",【A】実務経験要件判定シート!I90)</f>
        <v/>
      </c>
      <c r="H60" s="264"/>
      <c r="I60" s="264"/>
      <c r="J60" s="264"/>
    </row>
    <row r="61" spans="1:10" ht="15" customHeight="1" thickBot="1"/>
    <row r="62" spans="1:10" ht="25.15" customHeight="1" thickBot="1">
      <c r="A62" s="2"/>
      <c r="B62" s="2"/>
      <c r="C62" s="67" t="s">
        <v>188</v>
      </c>
      <c r="D62" s="77" t="str">
        <f>IF(【A】実務経験要件判定シート!D95="","",【A】実務経験要件判定シート!D95)</f>
        <v/>
      </c>
      <c r="E62" s="22"/>
      <c r="F62" s="2"/>
      <c r="G62" s="2"/>
      <c r="H62" s="268"/>
      <c r="I62" s="268"/>
      <c r="J62" s="268"/>
    </row>
    <row r="63" spans="1:10" ht="12" customHeight="1">
      <c r="A63" s="2"/>
      <c r="B63" s="15"/>
      <c r="C63" s="2"/>
      <c r="D63" s="2"/>
      <c r="E63" s="2"/>
      <c r="F63" s="2"/>
      <c r="G63" s="2"/>
      <c r="H63" s="2"/>
      <c r="I63" s="2"/>
      <c r="J63" s="15"/>
    </row>
    <row r="64" spans="1:10" ht="25.15" customHeight="1">
      <c r="A64" s="7" t="s">
        <v>189</v>
      </c>
      <c r="B64" s="7"/>
      <c r="C64" s="15"/>
      <c r="D64" s="15"/>
      <c r="E64" s="15"/>
      <c r="F64" s="15"/>
      <c r="G64" s="15"/>
      <c r="H64" s="15"/>
      <c r="I64" s="15"/>
      <c r="J64" s="15"/>
    </row>
    <row r="65" spans="1:13" ht="25.15" customHeight="1">
      <c r="A65" s="2"/>
      <c r="B65" s="2"/>
      <c r="C65" s="2"/>
      <c r="D65" s="118"/>
      <c r="E65" s="2" t="s">
        <v>190</v>
      </c>
      <c r="F65" s="2"/>
      <c r="G65" s="2"/>
      <c r="H65" s="2"/>
      <c r="I65" s="2"/>
      <c r="J65" s="2"/>
      <c r="M65" s="167" t="str">
        <f>IF(【B】実務経験証明書!証明書作成日="","入力必須","OK")</f>
        <v>入力必須</v>
      </c>
    </row>
    <row r="66" spans="1:13" ht="12" customHeight="1"/>
    <row r="67" spans="1:13" ht="25.15" customHeight="1">
      <c r="A67" s="7" t="s">
        <v>191</v>
      </c>
      <c r="B67" s="7"/>
      <c r="C67" s="2"/>
      <c r="D67" s="2"/>
      <c r="E67" s="2"/>
      <c r="F67" s="2"/>
      <c r="G67" s="2"/>
      <c r="H67" s="2"/>
      <c r="I67" s="2"/>
      <c r="J67" s="2"/>
    </row>
    <row r="68" spans="1:13" ht="25.15" customHeight="1">
      <c r="A68" s="2"/>
      <c r="B68" s="2" t="s">
        <v>72</v>
      </c>
      <c r="C68" s="2"/>
      <c r="D68" s="189"/>
      <c r="E68" s="190"/>
      <c r="F68" s="190"/>
      <c r="G68" s="190"/>
      <c r="H68" s="190"/>
      <c r="I68" s="190"/>
      <c r="J68" s="191"/>
      <c r="M68" s="167" t="str">
        <f>IF(【B】実務経験証明書!事業者名="","入力必須","OK")</f>
        <v>入力必須</v>
      </c>
    </row>
    <row r="69" spans="1:13" ht="25.15" customHeight="1">
      <c r="A69" s="2"/>
      <c r="B69" s="2" t="s">
        <v>192</v>
      </c>
      <c r="C69" s="2"/>
      <c r="D69" s="189"/>
      <c r="E69" s="190"/>
      <c r="F69" s="190"/>
      <c r="G69" s="190"/>
      <c r="H69" s="190"/>
      <c r="I69" s="190"/>
      <c r="J69" s="191"/>
      <c r="M69" s="167" t="str">
        <f>IF(【B】実務経験証明書!住所="","入力必須","OK")</f>
        <v>入力必須</v>
      </c>
    </row>
    <row r="70" spans="1:13" ht="25.15" customHeight="1">
      <c r="A70" s="2"/>
      <c r="B70" s="2" t="s">
        <v>193</v>
      </c>
      <c r="C70" s="2"/>
      <c r="D70" s="189"/>
      <c r="E70" s="190"/>
      <c r="F70" s="190"/>
      <c r="G70" s="190"/>
      <c r="H70" s="190"/>
      <c r="I70" s="190"/>
      <c r="J70" s="191"/>
      <c r="M70" s="167" t="str">
        <f>IF(【B】実務経験証明書!役職▼証明者氏名="","入力必須","OK")</f>
        <v>入力必須</v>
      </c>
    </row>
    <row r="71" spans="1:13" ht="25.15" customHeight="1">
      <c r="A71" s="2"/>
      <c r="B71" s="2" t="s">
        <v>194</v>
      </c>
      <c r="C71" s="2" t="s">
        <v>79</v>
      </c>
      <c r="D71" s="189"/>
      <c r="E71" s="190"/>
      <c r="F71" s="190"/>
      <c r="G71" s="190"/>
      <c r="H71" s="190"/>
      <c r="I71" s="190"/>
      <c r="J71" s="191"/>
      <c r="M71" s="167" t="str">
        <f>IF(【B】実務経験証明書!連絡先▼電話="","入力必須","OK")</f>
        <v>入力必須</v>
      </c>
    </row>
    <row r="72" spans="1:13" ht="25.15" customHeight="1">
      <c r="A72" s="1"/>
      <c r="B72" s="1"/>
      <c r="C72" s="1" t="s">
        <v>81</v>
      </c>
      <c r="D72" s="189"/>
      <c r="E72" s="190"/>
      <c r="F72" s="190"/>
      <c r="G72" s="190"/>
      <c r="H72" s="190"/>
      <c r="I72" s="190"/>
      <c r="J72" s="191"/>
      <c r="M72" s="167" t="str">
        <f>IF(【B】実務経験証明書!連絡先▼メール="","入力必須","OK")</f>
        <v>入力必須</v>
      </c>
    </row>
  </sheetData>
  <sheetProtection algorithmName="SHA-512" hashValue="E2xNJG3sGJFs2+bJ4cm24gUpE9f3F6MBHkq3J/SwgUdQO1N4jEu8EiOln8T8DPgZnoVo2uLwEzHbyCN79yUm1Q==" saltValue="EoL3/W/iMYJMWLMHQdFRfw==" spinCount="100000" sheet="1" formatCells="0" formatColumns="0" formatRows="0" insertColumns="0" insertRows="0" insertHyperlinks="0" deleteColumns="0" deleteRows="0" sort="0" autoFilter="0" pivotTables="0"/>
  <mergeCells count="40">
    <mergeCell ref="D71:J71"/>
    <mergeCell ref="D68:J68"/>
    <mergeCell ref="D69:J69"/>
    <mergeCell ref="D70:J70"/>
    <mergeCell ref="D72:J72"/>
    <mergeCell ref="A1:J1"/>
    <mergeCell ref="A5:J5"/>
    <mergeCell ref="B10:C10"/>
    <mergeCell ref="B11:C11"/>
    <mergeCell ref="A2:J2"/>
    <mergeCell ref="A3:J3"/>
    <mergeCell ref="B6:J6"/>
    <mergeCell ref="D10:J10"/>
    <mergeCell ref="D11:J11"/>
    <mergeCell ref="A7:J7"/>
    <mergeCell ref="B12:C12"/>
    <mergeCell ref="H62:J62"/>
    <mergeCell ref="D38:J38"/>
    <mergeCell ref="D12:J12"/>
    <mergeCell ref="B13:C13"/>
    <mergeCell ref="D13:J13"/>
    <mergeCell ref="B19:D19"/>
    <mergeCell ref="D24:J24"/>
    <mergeCell ref="D17:J17"/>
    <mergeCell ref="D20:J20"/>
    <mergeCell ref="G28:J28"/>
    <mergeCell ref="G29:J29"/>
    <mergeCell ref="G31:J31"/>
    <mergeCell ref="G32:J32"/>
    <mergeCell ref="D34:J34"/>
    <mergeCell ref="G42:J42"/>
    <mergeCell ref="G43:J43"/>
    <mergeCell ref="G57:J57"/>
    <mergeCell ref="G59:J59"/>
    <mergeCell ref="G60:J60"/>
    <mergeCell ref="G45:J45"/>
    <mergeCell ref="G46:J46"/>
    <mergeCell ref="D48:J48"/>
    <mergeCell ref="D52:J52"/>
    <mergeCell ref="G56:J56"/>
  </mergeCells>
  <phoneticPr fontId="1"/>
  <conditionalFormatting sqref="H62">
    <cfRule type="containsText" dxfId="5" priority="22" operator="containsText" text="④">
      <formula>NOT(ISERROR(SEARCH("④",H62)))</formula>
    </cfRule>
    <cfRule type="containsText" dxfId="4" priority="24" operator="containsText" text="満た">
      <formula>NOT(ISERROR(SEARCH("満た",H62)))</formula>
    </cfRule>
  </conditionalFormatting>
  <conditionalFormatting sqref="M1:M1048576">
    <cfRule type="expression" dxfId="3" priority="1">
      <formula>$M1="OK"</formula>
    </cfRule>
    <cfRule type="expression" dxfId="2" priority="2">
      <formula>$M1="入力必須"</formula>
    </cfRule>
  </conditionalFormatting>
  <dataValidations count="1">
    <dataValidation type="date" imeMode="disabled" operator="greaterThanOrEqual" allowBlank="1" showInputMessage="1" showErrorMessage="1" errorTitle="★入力値エラー★" error="YYYY/MM/DD形式で入力してください。" promptTitle="★入力条件★" prompt="YYYY/MM/DD形式" sqref="D65" xr:uid="{8B0ED12C-9CBD-408A-9188-131300AD9E33}">
      <formula1>1</formula1>
    </dataValidation>
  </dataValidations>
  <printOptions horizontalCentered="1"/>
  <pageMargins left="0.39370078740157483" right="0.39370078740157483" top="0.59055118110236227" bottom="0.59055118110236227" header="0.19685039370078741" footer="0.19685039370078741"/>
  <pageSetup paperSize="9" scale="4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6FED-2E61-4943-81E2-ACB237631FC9}">
  <sheetPr codeName="Sheet4">
    <pageSetUpPr fitToPage="1"/>
  </sheetPr>
  <dimension ref="A1:N78"/>
  <sheetViews>
    <sheetView showGridLines="0" topLeftCell="A6" zoomScaleNormal="100" zoomScaleSheetLayoutView="100" workbookViewId="0">
      <selection activeCell="J65" sqref="J65"/>
    </sheetView>
  </sheetViews>
  <sheetFormatPr defaultColWidth="20.625" defaultRowHeight="25.15" customHeight="1"/>
  <cols>
    <col min="1" max="1" width="3.125" customWidth="1"/>
    <col min="2" max="2" width="8.125" customWidth="1"/>
    <col min="3" max="3" width="32.625" customWidth="1"/>
    <col min="4" max="4" width="16.625" customWidth="1"/>
    <col min="5" max="5" width="4.625" customWidth="1"/>
    <col min="6" max="6" width="20.625" customWidth="1"/>
    <col min="7" max="7" width="16.625" customWidth="1"/>
    <col min="8" max="9" width="4.625" customWidth="1"/>
    <col min="10" max="10" width="21.125" customWidth="1"/>
    <col min="11" max="12" width="2.625" customWidth="1"/>
    <col min="13" max="13" width="20.625" style="167"/>
  </cols>
  <sheetData>
    <row r="1" spans="1:10" ht="24" customHeight="1">
      <c r="A1" s="275" t="str">
        <f>IF(【A】実務経験要件判定シート!D15="飲食料品製造業","管理等実務経験に係る誓約書(飲食料品製造業用)","指導等実務経験に係る誓約書(外食業用)")</f>
        <v>指導等実務経験に係る誓約書(外食業用)</v>
      </c>
      <c r="B1" s="275"/>
      <c r="C1" s="275"/>
      <c r="D1" s="275"/>
      <c r="E1" s="275"/>
      <c r="F1" s="275"/>
      <c r="G1" s="275"/>
      <c r="H1" s="275"/>
      <c r="I1" s="275"/>
      <c r="J1" s="275"/>
    </row>
    <row r="2" spans="1:10" ht="21.75" customHeight="1">
      <c r="A2" s="277" t="s">
        <v>195</v>
      </c>
      <c r="B2" s="277"/>
      <c r="C2" s="277"/>
      <c r="D2" s="277"/>
      <c r="E2" s="277"/>
      <c r="F2" s="277"/>
      <c r="G2" s="277"/>
      <c r="H2" s="277"/>
      <c r="I2" s="277"/>
      <c r="J2" s="277"/>
    </row>
    <row r="3" spans="1:10" ht="50.25" customHeight="1">
      <c r="A3" s="278" t="s">
        <v>196</v>
      </c>
      <c r="B3" s="278"/>
      <c r="C3" s="278"/>
      <c r="D3" s="278"/>
      <c r="E3" s="278"/>
      <c r="F3" s="278"/>
      <c r="G3" s="278"/>
      <c r="H3" s="278"/>
      <c r="I3" s="278"/>
      <c r="J3" s="278"/>
    </row>
    <row r="4" spans="1:10" ht="11.25" customHeight="1">
      <c r="A4" s="82"/>
      <c r="B4" s="82"/>
      <c r="C4" s="82"/>
      <c r="D4" s="82"/>
      <c r="E4" s="82"/>
      <c r="F4" s="82"/>
      <c r="G4" s="82"/>
      <c r="H4" s="82"/>
      <c r="I4" s="82"/>
      <c r="J4" s="82"/>
    </row>
    <row r="5" spans="1:10" ht="30">
      <c r="A5" s="208" t="s">
        <v>168</v>
      </c>
      <c r="B5" s="276"/>
      <c r="C5" s="276"/>
      <c r="D5" s="276"/>
      <c r="E5" s="276"/>
      <c r="F5" s="276"/>
      <c r="G5" s="276"/>
      <c r="H5" s="276"/>
      <c r="I5" s="276"/>
      <c r="J5" s="276"/>
    </row>
    <row r="6" spans="1:10" ht="23.25" customHeight="1">
      <c r="A6" s="2"/>
      <c r="B6" s="212" t="s">
        <v>197</v>
      </c>
      <c r="C6" s="212"/>
      <c r="D6" s="212"/>
      <c r="E6" s="212"/>
      <c r="F6" s="212"/>
      <c r="G6" s="212"/>
      <c r="H6" s="212"/>
      <c r="I6" s="212"/>
      <c r="J6" s="212"/>
    </row>
    <row r="7" spans="1:10" ht="23.25" customHeight="1">
      <c r="A7" s="2"/>
      <c r="B7" s="212"/>
      <c r="C7" s="212"/>
      <c r="D7" s="212"/>
      <c r="E7" s="212"/>
      <c r="F7" s="212"/>
      <c r="G7" s="212"/>
      <c r="H7" s="212"/>
      <c r="I7" s="212"/>
      <c r="J7" s="212"/>
    </row>
    <row r="8" spans="1:10" ht="11.25" customHeight="1">
      <c r="A8" s="2"/>
      <c r="B8" s="83"/>
      <c r="C8" s="83"/>
      <c r="D8" s="83"/>
      <c r="E8" s="83"/>
      <c r="F8" s="83"/>
      <c r="G8" s="83"/>
      <c r="H8" s="83"/>
      <c r="I8" s="83"/>
      <c r="J8" s="83"/>
    </row>
    <row r="9" spans="1:10" ht="25.15" customHeight="1">
      <c r="A9" s="7" t="s">
        <v>198</v>
      </c>
      <c r="B9" s="7"/>
      <c r="C9" s="2"/>
      <c r="D9" s="2"/>
      <c r="E9" s="2"/>
      <c r="F9" s="2"/>
      <c r="G9" s="2"/>
      <c r="H9" s="2"/>
      <c r="I9" s="2"/>
      <c r="J9" s="2"/>
    </row>
    <row r="10" spans="1:10" ht="25.15" customHeight="1">
      <c r="A10" s="2"/>
      <c r="B10" s="192" t="s">
        <v>8</v>
      </c>
      <c r="C10" s="192"/>
      <c r="D10" s="269" t="str">
        <f>IF(【A】実務経験要件判定シート!D12="","",【A】実務経験要件判定シート!D12)</f>
        <v/>
      </c>
      <c r="E10" s="270"/>
      <c r="F10" s="270"/>
      <c r="G10" s="270"/>
      <c r="H10" s="270"/>
      <c r="I10" s="270"/>
      <c r="J10" s="271"/>
    </row>
    <row r="11" spans="1:10" ht="25.15" customHeight="1">
      <c r="A11" s="2"/>
      <c r="B11" s="192" t="s">
        <v>10</v>
      </c>
      <c r="C11" s="204"/>
      <c r="D11" s="272" t="str">
        <f>IF(【A】実務経験要件判定シート!D13="","",【A】実務経験要件判定シート!D13)</f>
        <v/>
      </c>
      <c r="E11" s="270"/>
      <c r="F11" s="270"/>
      <c r="G11" s="270"/>
      <c r="H11" s="270"/>
      <c r="I11" s="270"/>
      <c r="J11" s="271"/>
    </row>
    <row r="12" spans="1:10" ht="25.15" customHeight="1">
      <c r="A12" s="2"/>
      <c r="B12" s="192" t="s">
        <v>11</v>
      </c>
      <c r="C12" s="192"/>
      <c r="D12" s="272" t="str">
        <f>IF(【A】実務経験要件判定シート!D14="","",【A】実務経験要件判定シート!D14)</f>
        <v/>
      </c>
      <c r="E12" s="270"/>
      <c r="F12" s="270"/>
      <c r="G12" s="270"/>
      <c r="H12" s="270"/>
      <c r="I12" s="270"/>
      <c r="J12" s="271"/>
    </row>
    <row r="13" spans="1:10" ht="25.15" customHeight="1">
      <c r="A13" s="2"/>
      <c r="B13" s="192" t="s">
        <v>172</v>
      </c>
      <c r="C13" s="192"/>
      <c r="D13" s="272" t="str">
        <f>IF(【A】実務経験要件判定シート!D15="","",【A】実務経験要件判定シート!D15)</f>
        <v/>
      </c>
      <c r="E13" s="270"/>
      <c r="F13" s="270"/>
      <c r="G13" s="270"/>
      <c r="H13" s="270"/>
      <c r="I13" s="270"/>
      <c r="J13" s="271"/>
    </row>
    <row r="14" spans="1:10" ht="11.25" customHeight="1">
      <c r="A14" s="2"/>
      <c r="B14" s="15"/>
      <c r="C14" s="15"/>
      <c r="D14" s="15"/>
      <c r="E14" s="15"/>
      <c r="F14" s="15"/>
      <c r="G14" s="15"/>
      <c r="H14" s="15"/>
      <c r="I14" s="15"/>
      <c r="J14" s="15"/>
    </row>
    <row r="15" spans="1:10" ht="25.15" customHeight="1">
      <c r="A15" s="7" t="s">
        <v>173</v>
      </c>
      <c r="B15" s="7"/>
      <c r="C15" s="7"/>
      <c r="D15" s="7"/>
      <c r="E15" s="7"/>
      <c r="F15" s="7"/>
      <c r="G15" s="7"/>
      <c r="H15" s="7"/>
      <c r="I15" s="7"/>
      <c r="J15" s="2"/>
    </row>
    <row r="16" spans="1:10" ht="25.15" customHeight="1">
      <c r="A16" s="7"/>
      <c r="B16" s="8" t="s">
        <v>174</v>
      </c>
      <c r="C16" s="7"/>
      <c r="D16" s="7"/>
      <c r="E16" s="7"/>
      <c r="F16" s="7"/>
      <c r="G16" s="7"/>
      <c r="H16" s="7"/>
      <c r="I16" s="7"/>
      <c r="J16" s="2"/>
    </row>
    <row r="17" spans="1:10" ht="25.15" customHeight="1">
      <c r="A17" s="2"/>
      <c r="B17" s="2"/>
      <c r="C17" s="2"/>
      <c r="D17" s="74" t="str">
        <f>IF(【A】実務経験要件判定シート!D18="","",【A】実務経験要件判定シート!D18)</f>
        <v/>
      </c>
      <c r="E17" s="20"/>
      <c r="F17" s="2"/>
      <c r="G17" s="2"/>
      <c r="H17" s="2"/>
      <c r="I17" s="2"/>
      <c r="J17" s="2"/>
    </row>
    <row r="18" spans="1:10" ht="11.25" customHeight="1">
      <c r="A18" s="2"/>
      <c r="B18" s="2"/>
      <c r="C18" s="2"/>
      <c r="D18" s="2"/>
      <c r="E18" s="2"/>
      <c r="F18" s="2"/>
      <c r="G18" s="2"/>
      <c r="H18" s="2"/>
      <c r="I18" s="2"/>
      <c r="J18" s="2"/>
    </row>
    <row r="19" spans="1:10" ht="25.15" customHeight="1">
      <c r="A19" s="7" t="s">
        <v>199</v>
      </c>
    </row>
    <row r="20" spans="1:10" ht="25.15" customHeight="1">
      <c r="B20" s="2" t="s">
        <v>176</v>
      </c>
      <c r="C20" s="2" t="s">
        <v>118</v>
      </c>
      <c r="D20" s="265" t="str">
        <f>IF(【A】実務経験要件判定シート!D28="","",【A】実務経験要件判定シート!D28)</f>
        <v/>
      </c>
      <c r="E20" s="266"/>
      <c r="F20" s="266"/>
      <c r="G20" s="266"/>
      <c r="H20" s="266"/>
      <c r="I20" s="266"/>
      <c r="J20" s="267"/>
    </row>
    <row r="21" spans="1:10" ht="25.15" customHeight="1">
      <c r="B21" s="2"/>
      <c r="C21" s="2" t="s">
        <v>21</v>
      </c>
      <c r="D21" s="120" t="str">
        <f>IF(【A】実務経験要件判定シート!企業A▼開始日="","",【A】実務経験要件判定シート!企業A▼開始日)</f>
        <v/>
      </c>
    </row>
    <row r="22" spans="1:10" ht="25.15" customHeight="1">
      <c r="B22" s="2"/>
      <c r="C22" s="2" t="s">
        <v>23</v>
      </c>
      <c r="D22" s="121" t="str">
        <f>IF(【A】実務経験要件判定シート!企業A▼終了日="","",【A】実務経験要件判定シート!企業A▼終了日)</f>
        <v/>
      </c>
    </row>
    <row r="23" spans="1:10" ht="25.15" customHeight="1">
      <c r="B23" s="2"/>
      <c r="C23" s="2" t="s">
        <v>200</v>
      </c>
      <c r="D23" s="121" t="str">
        <f>IF(【A】実務経験要件判定シート!D34="","",【A】実務経験要件判定シート!D34)</f>
        <v/>
      </c>
    </row>
    <row r="24" spans="1:10" ht="25.15" customHeight="1">
      <c r="B24" s="69"/>
      <c r="C24" s="75" t="s">
        <v>201</v>
      </c>
      <c r="D24" s="265" t="str">
        <f>IF(【A】実務経験要件判定シート!D35="","",【A】実務経験要件判定シート!D35)</f>
        <v/>
      </c>
      <c r="E24" s="266"/>
      <c r="F24" s="266"/>
      <c r="G24" s="266"/>
      <c r="H24" s="266"/>
      <c r="I24" s="266"/>
      <c r="J24" s="267"/>
    </row>
    <row r="25" spans="1:10" ht="25.15" customHeight="1">
      <c r="B25" s="2"/>
      <c r="C25" s="75" t="s">
        <v>202</v>
      </c>
    </row>
    <row r="26" spans="1:10" ht="25.15" customHeight="1">
      <c r="B26" s="2"/>
      <c r="C26" s="75" t="s">
        <v>183</v>
      </c>
      <c r="D26" s="122" t="str">
        <f>IF(【A】実務経験要件判定シート!D37="","",【A】実務経験要件判定シート!D37)</f>
        <v/>
      </c>
    </row>
    <row r="27" spans="1:10" ht="25.15" customHeight="1">
      <c r="B27" s="2"/>
      <c r="C27" s="75" t="s">
        <v>184</v>
      </c>
    </row>
    <row r="28" spans="1:10" ht="25.15" customHeight="1">
      <c r="B28" s="2"/>
      <c r="C28" s="119" t="s">
        <v>135</v>
      </c>
      <c r="D28" s="122" t="str">
        <f>IF(【A】実務経験要件判定シート!D39="","",【A】実務経験要件判定シート!D39)</f>
        <v/>
      </c>
      <c r="F28" s="11" t="s">
        <v>136</v>
      </c>
      <c r="G28" s="264" t="str">
        <f>IF(【A】実務経験要件判定シート!I39="","",【A】実務経験要件判定シート!I39)</f>
        <v/>
      </c>
      <c r="H28" s="264"/>
      <c r="I28" s="264"/>
      <c r="J28" s="264"/>
    </row>
    <row r="29" spans="1:10" ht="25.15" customHeight="1">
      <c r="B29" s="2"/>
      <c r="C29" s="119" t="s">
        <v>135</v>
      </c>
      <c r="D29" s="122" t="str">
        <f>IF(【A】実務経験要件判定シート!D40="","",【A】実務経験要件判定シート!D40)</f>
        <v/>
      </c>
      <c r="F29" s="11" t="s">
        <v>136</v>
      </c>
      <c r="G29" s="264" t="str">
        <f>IF(【A】実務経験要件判定シート!I40="","",【A】実務経験要件判定シート!I40)</f>
        <v/>
      </c>
      <c r="H29" s="264"/>
      <c r="I29" s="264"/>
      <c r="J29" s="264"/>
    </row>
    <row r="30" spans="1:10" ht="25.15" customHeight="1">
      <c r="B30" s="2"/>
      <c r="C30" s="75" t="s">
        <v>185</v>
      </c>
    </row>
    <row r="31" spans="1:10" ht="25.15" customHeight="1">
      <c r="B31" s="2"/>
      <c r="C31" s="119" t="s">
        <v>135</v>
      </c>
      <c r="D31" s="122" t="str">
        <f>IF(【A】実務経験要件判定シート!D45="","",【A】実務経験要件判定シート!D45)</f>
        <v/>
      </c>
      <c r="F31" s="11" t="s">
        <v>136</v>
      </c>
      <c r="G31" s="264" t="str">
        <f>IF(【A】実務経験要件判定シート!I45="","",【A】実務経験要件判定シート!I45)</f>
        <v/>
      </c>
      <c r="H31" s="264"/>
      <c r="I31" s="264"/>
      <c r="J31" s="264"/>
    </row>
    <row r="32" spans="1:10" ht="25.15" customHeight="1">
      <c r="B32" s="2"/>
      <c r="C32" s="119" t="s">
        <v>135</v>
      </c>
      <c r="D32" s="122" t="str">
        <f>IF(【A】実務経験要件判定シート!D46="","",【A】実務経験要件判定シート!D46)</f>
        <v/>
      </c>
      <c r="F32" s="11" t="s">
        <v>136</v>
      </c>
      <c r="G32" s="264" t="str">
        <f>IF(【A】実務経験要件判定シート!I46="","",【A】実務経験要件判定シート!I46)</f>
        <v/>
      </c>
      <c r="H32" s="264"/>
      <c r="I32" s="264"/>
      <c r="J32" s="264"/>
    </row>
    <row r="33" spans="2:10" ht="12" customHeight="1"/>
    <row r="34" spans="2:10" ht="25.15" customHeight="1">
      <c r="B34" s="2" t="s">
        <v>186</v>
      </c>
      <c r="C34" s="2" t="s">
        <v>118</v>
      </c>
      <c r="D34" s="265" t="str">
        <f>IF(【A】実務経験要件判定シート!D50="","",【A】実務経験要件判定シート!D50)</f>
        <v/>
      </c>
      <c r="E34" s="266"/>
      <c r="F34" s="266"/>
      <c r="G34" s="266"/>
      <c r="H34" s="266"/>
      <c r="I34" s="266"/>
      <c r="J34" s="267"/>
    </row>
    <row r="35" spans="2:10" ht="25.15" customHeight="1">
      <c r="B35" s="2"/>
      <c r="C35" s="2" t="s">
        <v>21</v>
      </c>
      <c r="D35" s="120" t="str">
        <f>IF(【A】実務経験要件判定シート!企業B▼開始日="","",【A】実務経験要件判定シート!企業B▼開始日)</f>
        <v/>
      </c>
    </row>
    <row r="36" spans="2:10" ht="25.15" customHeight="1">
      <c r="B36" s="2"/>
      <c r="C36" s="2" t="s">
        <v>23</v>
      </c>
      <c r="D36" s="121" t="str">
        <f>IF(【A】実務経験要件判定シート!企業B▼終了日="","",【A】実務経験要件判定シート!企業B▼終了日)</f>
        <v/>
      </c>
    </row>
    <row r="37" spans="2:10" ht="25.15" customHeight="1">
      <c r="B37" s="2"/>
      <c r="C37" s="2" t="s">
        <v>200</v>
      </c>
      <c r="D37" s="121" t="str">
        <f>IF(【A】実務経験要件判定シート!D56="","",【A】実務経験要件判定シート!D56)</f>
        <v/>
      </c>
    </row>
    <row r="38" spans="2:10" ht="25.15" customHeight="1">
      <c r="B38" s="69"/>
      <c r="C38" s="75" t="s">
        <v>201</v>
      </c>
      <c r="D38" s="265" t="str">
        <f>IF(【A】実務経験要件判定シート!D57="","",【A】実務経験要件判定シート!D57)</f>
        <v/>
      </c>
      <c r="E38" s="266"/>
      <c r="F38" s="266"/>
      <c r="G38" s="266"/>
      <c r="H38" s="266"/>
      <c r="I38" s="266"/>
      <c r="J38" s="267"/>
    </row>
    <row r="39" spans="2:10" ht="25.15" customHeight="1">
      <c r="B39" s="2"/>
      <c r="C39" s="75" t="s">
        <v>202</v>
      </c>
    </row>
    <row r="40" spans="2:10" ht="25.15" customHeight="1">
      <c r="B40" s="2"/>
      <c r="C40" s="75" t="s">
        <v>183</v>
      </c>
      <c r="D40" s="122" t="str">
        <f>IF(【A】実務経験要件判定シート!D59="","",【A】実務経験要件判定シート!D59)</f>
        <v/>
      </c>
    </row>
    <row r="41" spans="2:10" ht="25.15" customHeight="1">
      <c r="B41" s="2"/>
      <c r="C41" s="75" t="s">
        <v>184</v>
      </c>
    </row>
    <row r="42" spans="2:10" ht="25.15" customHeight="1">
      <c r="B42" s="2"/>
      <c r="C42" s="119" t="s">
        <v>135</v>
      </c>
      <c r="D42" s="122" t="str">
        <f>IF(【A】実務経験要件判定シート!D61="","",【A】実務経験要件判定シート!D61)</f>
        <v/>
      </c>
      <c r="F42" s="11" t="s">
        <v>136</v>
      </c>
      <c r="G42" s="264" t="str">
        <f>IF(【A】実務経験要件判定シート!I61="","",【A】実務経験要件判定シート!I61)</f>
        <v/>
      </c>
      <c r="H42" s="264"/>
      <c r="I42" s="264"/>
      <c r="J42" s="264"/>
    </row>
    <row r="43" spans="2:10" ht="25.15" customHeight="1">
      <c r="B43" s="2"/>
      <c r="C43" s="119" t="s">
        <v>135</v>
      </c>
      <c r="D43" s="122" t="str">
        <f>IF(【A】実務経験要件判定シート!D62="","",【A】実務経験要件判定シート!D62)</f>
        <v/>
      </c>
      <c r="F43" s="11" t="s">
        <v>136</v>
      </c>
      <c r="G43" s="264" t="str">
        <f>IF(【A】実務経験要件判定シート!I62="","",【A】実務経験要件判定シート!I62)</f>
        <v/>
      </c>
      <c r="H43" s="264"/>
      <c r="I43" s="264"/>
      <c r="J43" s="264"/>
    </row>
    <row r="44" spans="2:10" ht="25.15" customHeight="1">
      <c r="B44" s="2"/>
      <c r="C44" s="75" t="s">
        <v>185</v>
      </c>
    </row>
    <row r="45" spans="2:10" ht="25.15" customHeight="1">
      <c r="B45" s="2"/>
      <c r="C45" s="119" t="s">
        <v>135</v>
      </c>
      <c r="D45" s="122" t="str">
        <f>IF(【A】実務経験要件判定シート!D67="","",【A】実務経験要件判定シート!D67)</f>
        <v/>
      </c>
      <c r="F45" s="11" t="s">
        <v>136</v>
      </c>
      <c r="G45" s="264" t="str">
        <f>IF(【A】実務経験要件判定シート!I67="","",【A】実務経験要件判定シート!I67)</f>
        <v/>
      </c>
      <c r="H45" s="264"/>
      <c r="I45" s="264"/>
      <c r="J45" s="264"/>
    </row>
    <row r="46" spans="2:10" ht="25.15" customHeight="1">
      <c r="B46" s="2"/>
      <c r="C46" s="119" t="s">
        <v>135</v>
      </c>
      <c r="D46" s="122" t="str">
        <f>IF(【A】実務経験要件判定シート!D68="","",【A】実務経験要件判定シート!D68)</f>
        <v/>
      </c>
      <c r="F46" s="11" t="s">
        <v>136</v>
      </c>
      <c r="G46" s="264" t="str">
        <f>IF(【A】実務経験要件判定シート!I68="","",【A】実務経験要件判定シート!I68)</f>
        <v/>
      </c>
      <c r="H46" s="264"/>
      <c r="I46" s="264"/>
      <c r="J46" s="264"/>
    </row>
    <row r="47" spans="2:10" ht="12" customHeight="1"/>
    <row r="48" spans="2:10" ht="25.15" customHeight="1">
      <c r="B48" s="2" t="s">
        <v>187</v>
      </c>
      <c r="C48" s="2" t="s">
        <v>118</v>
      </c>
      <c r="D48" s="265" t="str">
        <f>IF(【A】実務経験要件判定シート!D72="","",【A】実務経験要件判定シート!D72)</f>
        <v/>
      </c>
      <c r="E48" s="266"/>
      <c r="F48" s="266"/>
      <c r="G48" s="266"/>
      <c r="H48" s="266"/>
      <c r="I48" s="266"/>
      <c r="J48" s="267"/>
    </row>
    <row r="49" spans="1:14" ht="25.15" customHeight="1">
      <c r="B49" s="2"/>
      <c r="C49" s="2" t="s">
        <v>21</v>
      </c>
      <c r="D49" s="120" t="str">
        <f>IF(【A】実務経験要件判定シート!企業C▼開始日="","",【A】実務経験要件判定シート!企業C▼開始日)</f>
        <v/>
      </c>
    </row>
    <row r="50" spans="1:14" ht="25.15" customHeight="1">
      <c r="B50" s="2"/>
      <c r="C50" s="2" t="s">
        <v>23</v>
      </c>
      <c r="D50" s="121" t="str">
        <f>IF(【A】実務経験要件判定シート!企業C▼終了日="","",【A】実務経験要件判定シート!企業C▼終了日)</f>
        <v/>
      </c>
    </row>
    <row r="51" spans="1:14" ht="25.15" customHeight="1">
      <c r="B51" s="2"/>
      <c r="C51" s="2" t="s">
        <v>200</v>
      </c>
      <c r="D51" s="121" t="str">
        <f>IF(【A】実務経験要件判定シート!D78="","",【A】実務経験要件判定シート!D78)</f>
        <v/>
      </c>
      <c r="E51" s="20"/>
      <c r="F51" s="10"/>
      <c r="G51" s="2"/>
      <c r="H51" s="2"/>
      <c r="I51" s="2"/>
      <c r="J51" s="2"/>
    </row>
    <row r="52" spans="1:14" ht="25.15" customHeight="1">
      <c r="B52" s="69"/>
      <c r="C52" s="75" t="s">
        <v>201</v>
      </c>
      <c r="D52" s="265" t="str">
        <f>IF(【A】実務経験要件判定シート!D79="","",【A】実務経験要件判定シート!D79)</f>
        <v/>
      </c>
      <c r="E52" s="266"/>
      <c r="F52" s="266"/>
      <c r="G52" s="266"/>
      <c r="H52" s="266"/>
      <c r="I52" s="266"/>
      <c r="J52" s="267"/>
    </row>
    <row r="53" spans="1:14" ht="25.15" customHeight="1">
      <c r="B53" s="2"/>
      <c r="C53" s="75" t="s">
        <v>202</v>
      </c>
    </row>
    <row r="54" spans="1:14" ht="25.15" customHeight="1">
      <c r="B54" s="2"/>
      <c r="C54" s="75" t="s">
        <v>183</v>
      </c>
      <c r="D54" s="122" t="str">
        <f>IF(【A】実務経験要件判定シート!D81="","",【A】実務経験要件判定シート!D81)</f>
        <v/>
      </c>
    </row>
    <row r="55" spans="1:14" ht="25.15" customHeight="1">
      <c r="B55" s="2"/>
      <c r="C55" s="75" t="s">
        <v>184</v>
      </c>
    </row>
    <row r="56" spans="1:14" ht="25.15" customHeight="1">
      <c r="B56" s="2"/>
      <c r="C56" s="119" t="s">
        <v>135</v>
      </c>
      <c r="D56" s="122" t="str">
        <f>IF(【A】実務経験要件判定シート!D83="","",【A】実務経験要件判定シート!D83)</f>
        <v/>
      </c>
      <c r="F56" s="11" t="s">
        <v>136</v>
      </c>
      <c r="G56" s="264" t="str">
        <f>IF(【A】実務経験要件判定シート!I83="","",【A】実務経験要件判定シート!I83)</f>
        <v/>
      </c>
      <c r="H56" s="264"/>
      <c r="I56" s="264"/>
      <c r="J56" s="264"/>
    </row>
    <row r="57" spans="1:14" ht="25.15" customHeight="1">
      <c r="B57" s="2"/>
      <c r="C57" s="119" t="s">
        <v>135</v>
      </c>
      <c r="D57" s="122" t="str">
        <f>IF(【A】実務経験要件判定シート!D84="","",【A】実務経験要件判定シート!D84)</f>
        <v/>
      </c>
      <c r="F57" s="11" t="s">
        <v>136</v>
      </c>
      <c r="G57" s="264" t="str">
        <f>IF(【A】実務経験要件判定シート!I84="","",【A】実務経験要件判定シート!I84)</f>
        <v/>
      </c>
      <c r="H57" s="264"/>
      <c r="I57" s="264"/>
      <c r="J57" s="264"/>
    </row>
    <row r="58" spans="1:14" ht="25.15" customHeight="1">
      <c r="B58" s="2"/>
      <c r="C58" s="75" t="s">
        <v>185</v>
      </c>
    </row>
    <row r="59" spans="1:14" ht="25.15" customHeight="1">
      <c r="B59" s="2"/>
      <c r="C59" s="119" t="s">
        <v>135</v>
      </c>
      <c r="D59" s="122" t="str">
        <f>IF(【A】実務経験要件判定シート!D89="","",【A】実務経験要件判定シート!D89)</f>
        <v/>
      </c>
      <c r="F59" s="11" t="s">
        <v>136</v>
      </c>
      <c r="G59" s="264" t="str">
        <f>IF(【A】実務経験要件判定シート!I89="","",【A】実務経験要件判定シート!I89)</f>
        <v/>
      </c>
      <c r="H59" s="264"/>
      <c r="I59" s="264"/>
      <c r="J59" s="264"/>
    </row>
    <row r="60" spans="1:14" ht="25.15" customHeight="1">
      <c r="B60" s="2"/>
      <c r="C60" s="119" t="s">
        <v>135</v>
      </c>
      <c r="D60" s="122" t="str">
        <f>IF(【A】実務経験要件判定シート!D90="","",【A】実務経験要件判定シート!D90)</f>
        <v/>
      </c>
      <c r="F60" s="11" t="s">
        <v>136</v>
      </c>
      <c r="G60" s="264" t="str">
        <f>IF(【A】実務経験要件判定シート!I90="","",【A】実務経験要件判定シート!I90)</f>
        <v/>
      </c>
      <c r="H60" s="264"/>
      <c r="I60" s="264"/>
      <c r="J60" s="264"/>
    </row>
    <row r="61" spans="1:14" ht="12" customHeight="1">
      <c r="A61" s="2"/>
      <c r="B61" s="69"/>
      <c r="C61" s="75"/>
      <c r="D61" s="15"/>
      <c r="E61" s="15"/>
      <c r="F61" s="15"/>
      <c r="G61" s="15"/>
      <c r="H61" s="15"/>
      <c r="I61" s="15"/>
      <c r="J61" s="15"/>
    </row>
    <row r="62" spans="1:14" ht="25.15" customHeight="1">
      <c r="A62" s="2"/>
      <c r="B62" s="84" t="s">
        <v>103</v>
      </c>
      <c r="C62" s="75" t="s">
        <v>203</v>
      </c>
      <c r="D62" s="171" t="str">
        <f>IF(【A】実務経験要件判定シート!D95="","",【A】実務経験要件判定シート!D95)</f>
        <v/>
      </c>
      <c r="E62" s="15"/>
      <c r="F62" s="15"/>
      <c r="G62" s="15"/>
      <c r="H62" s="15"/>
      <c r="I62" s="15"/>
      <c r="J62" s="15"/>
    </row>
    <row r="63" spans="1:14" ht="100.15" customHeight="1">
      <c r="A63" s="2"/>
      <c r="B63" s="84" t="s">
        <v>121</v>
      </c>
      <c r="C63" s="81" t="s">
        <v>204</v>
      </c>
      <c r="D63" s="286"/>
      <c r="E63" s="193" t="s">
        <v>205</v>
      </c>
      <c r="F63" s="193"/>
      <c r="G63" s="193"/>
      <c r="H63" s="193"/>
      <c r="I63" s="193"/>
      <c r="J63" s="193"/>
      <c r="M63" s="167" t="str">
        <f>IF(実務経験満了予定日="","","入力必須")</f>
        <v/>
      </c>
      <c r="N63" s="170"/>
    </row>
    <row r="64" spans="1:14" ht="25.15" customHeight="1">
      <c r="A64" s="2"/>
      <c r="B64" s="84"/>
      <c r="C64" s="81"/>
      <c r="D64" s="287"/>
      <c r="E64" s="288" t="str">
        <f>IF(【A】実務経験要件判定シート!D26="","","・"&amp;TEXT(EDATE(【A】実務経験要件判定シート!D26,6),"yyyy/mm/dd")&amp;"までの日付で入力【試験日から６ヵ月以内の日付】")</f>
        <v/>
      </c>
      <c r="F64" s="276"/>
      <c r="G64" s="276"/>
      <c r="H64" s="276"/>
      <c r="I64" s="276"/>
      <c r="J64" s="276"/>
      <c r="N64" s="170"/>
    </row>
    <row r="65" spans="1:13" ht="50.1" customHeight="1">
      <c r="A65" s="7"/>
      <c r="B65" s="84" t="s">
        <v>24</v>
      </c>
      <c r="C65" s="76" t="s">
        <v>206</v>
      </c>
      <c r="D65" s="172" t="str">
        <f>IF(実務経験満了予定日="","",計算シート!O43)</f>
        <v/>
      </c>
      <c r="E65" s="62"/>
      <c r="F65" s="289" t="s">
        <v>207</v>
      </c>
      <c r="G65" s="289"/>
      <c r="H65" s="62"/>
      <c r="I65" s="62"/>
      <c r="J65" s="62"/>
    </row>
    <row r="66" spans="1:13" ht="12" customHeight="1">
      <c r="A66" s="2"/>
      <c r="B66" s="2"/>
      <c r="C66" s="20"/>
      <c r="D66" s="2"/>
      <c r="E66" s="2"/>
      <c r="F66" s="2"/>
      <c r="G66" s="2"/>
      <c r="H66" s="2"/>
      <c r="I66" s="280"/>
      <c r="J66" s="280"/>
    </row>
    <row r="67" spans="1:13" ht="25.15" customHeight="1">
      <c r="A67" s="2"/>
      <c r="B67" s="285" t="s">
        <v>208</v>
      </c>
      <c r="C67" s="285"/>
      <c r="D67" s="285"/>
      <c r="E67" s="285"/>
      <c r="F67" s="285"/>
      <c r="G67" s="285"/>
      <c r="H67" s="285"/>
      <c r="I67" s="285"/>
      <c r="J67" s="2"/>
    </row>
    <row r="68" spans="1:13" ht="12" customHeight="1">
      <c r="A68" s="2"/>
      <c r="B68" s="15"/>
      <c r="C68" s="15"/>
      <c r="D68" s="15"/>
      <c r="E68" s="15"/>
      <c r="F68" s="15"/>
      <c r="G68" s="15"/>
      <c r="H68" s="15"/>
      <c r="I68" s="15"/>
      <c r="J68" s="15"/>
    </row>
    <row r="69" spans="1:13" ht="25.15" customHeight="1">
      <c r="A69" s="7" t="s">
        <v>209</v>
      </c>
      <c r="B69" s="7"/>
      <c r="C69" s="2"/>
      <c r="D69" s="118"/>
      <c r="E69" s="2" t="s">
        <v>190</v>
      </c>
      <c r="F69" s="2"/>
      <c r="G69" s="2"/>
      <c r="H69" s="2"/>
      <c r="I69" s="2"/>
      <c r="J69" s="2"/>
      <c r="M69" s="167" t="str">
        <f>IF(【C】誓約書!証明書作成日="","入力必須","OK")</f>
        <v>入力必須</v>
      </c>
    </row>
    <row r="70" spans="1:13" ht="12" customHeight="1">
      <c r="A70" s="2"/>
      <c r="B70" s="2"/>
      <c r="C70" s="2"/>
      <c r="D70" s="2"/>
      <c r="E70" s="2"/>
      <c r="F70" s="2"/>
      <c r="G70" s="2"/>
      <c r="H70" s="2"/>
      <c r="I70" s="2"/>
      <c r="J70" s="2"/>
    </row>
    <row r="71" spans="1:13" ht="25.15" customHeight="1">
      <c r="A71" s="7" t="s">
        <v>210</v>
      </c>
      <c r="B71" s="7"/>
      <c r="C71" s="2"/>
      <c r="D71" s="2"/>
      <c r="E71" s="2"/>
      <c r="F71" s="2"/>
      <c r="G71" s="2"/>
      <c r="H71" s="2"/>
      <c r="I71" s="2"/>
      <c r="J71" s="2"/>
    </row>
    <row r="72" spans="1:13" ht="25.15" customHeight="1">
      <c r="A72" s="2"/>
      <c r="B72" s="2" t="s">
        <v>72</v>
      </c>
      <c r="C72" s="2"/>
      <c r="D72" s="282"/>
      <c r="E72" s="283"/>
      <c r="F72" s="283"/>
      <c r="G72" s="283"/>
      <c r="H72" s="283"/>
      <c r="I72" s="283"/>
      <c r="J72" s="284"/>
      <c r="M72" s="167" t="str">
        <f>IF(【C】誓約書!事業者名="","入力必須","OK")</f>
        <v>入力必須</v>
      </c>
    </row>
    <row r="73" spans="1:13" ht="25.15" customHeight="1">
      <c r="A73" s="2"/>
      <c r="B73" s="2" t="s">
        <v>192</v>
      </c>
      <c r="C73" s="2"/>
      <c r="D73" s="282"/>
      <c r="E73" s="283"/>
      <c r="F73" s="283"/>
      <c r="G73" s="283"/>
      <c r="H73" s="283"/>
      <c r="I73" s="283"/>
      <c r="J73" s="284"/>
      <c r="M73" s="167" t="str">
        <f>IF(【C】誓約書!住所="","入力必須","OK")</f>
        <v>入力必須</v>
      </c>
    </row>
    <row r="74" spans="1:13" ht="25.15" customHeight="1">
      <c r="A74" s="2"/>
      <c r="B74" s="2" t="s">
        <v>193</v>
      </c>
      <c r="C74" s="2"/>
      <c r="D74" s="282"/>
      <c r="E74" s="283"/>
      <c r="F74" s="283"/>
      <c r="G74" s="283"/>
      <c r="H74" s="283"/>
      <c r="I74" s="283"/>
      <c r="J74" s="284"/>
      <c r="M74" s="167" t="str">
        <f>IF(【C】誓約書!役職▼証明者氏名="","入力必須","OK")</f>
        <v>入力必須</v>
      </c>
    </row>
    <row r="75" spans="1:13" ht="25.15" customHeight="1">
      <c r="A75" s="2"/>
      <c r="B75" s="2" t="s">
        <v>194</v>
      </c>
      <c r="C75" s="2" t="s">
        <v>79</v>
      </c>
      <c r="D75" s="282"/>
      <c r="E75" s="283"/>
      <c r="F75" s="283"/>
      <c r="G75" s="283"/>
      <c r="H75" s="283"/>
      <c r="I75" s="283"/>
      <c r="J75" s="284"/>
      <c r="M75" s="167" t="str">
        <f>IF(【C】誓約書!連絡先▼電話="","入力必須","OK")</f>
        <v>入力必須</v>
      </c>
    </row>
    <row r="76" spans="1:13" ht="25.15" customHeight="1">
      <c r="A76" s="1"/>
      <c r="B76" s="1"/>
      <c r="C76" s="1" t="s">
        <v>81</v>
      </c>
      <c r="D76" s="282"/>
      <c r="E76" s="283"/>
      <c r="F76" s="283"/>
      <c r="G76" s="283"/>
      <c r="H76" s="283"/>
      <c r="I76" s="283"/>
      <c r="J76" s="284"/>
      <c r="M76" s="167" t="str">
        <f>IF(【C】誓約書!連絡先▼メール="","入力必須","OK")</f>
        <v>入力必須</v>
      </c>
    </row>
    <row r="77" spans="1:13" ht="12" customHeight="1">
      <c r="A77" s="1"/>
      <c r="B77" s="1"/>
      <c r="C77" s="1"/>
      <c r="D77" s="1"/>
      <c r="E77" s="1"/>
      <c r="F77" s="1"/>
      <c r="G77" s="1"/>
      <c r="H77" s="1"/>
      <c r="I77" s="1"/>
      <c r="J77" s="1"/>
    </row>
    <row r="78" spans="1:13" ht="50.1" customHeight="1">
      <c r="A78" s="1"/>
      <c r="B78" s="281" t="s">
        <v>211</v>
      </c>
      <c r="C78" s="281"/>
      <c r="D78" s="281"/>
      <c r="E78" s="281"/>
      <c r="F78" s="281"/>
      <c r="G78" s="281"/>
      <c r="H78" s="281"/>
      <c r="I78" s="281"/>
      <c r="J78" s="281"/>
    </row>
  </sheetData>
  <sheetProtection formatCells="0" formatColumns="0" formatRows="0" insertColumns="0" insertRows="0" insertHyperlinks="0" deleteColumns="0" deleteRows="0" sort="0" autoFilter="0" pivotTables="0"/>
  <mergeCells count="43">
    <mergeCell ref="B11:C11"/>
    <mergeCell ref="D11:J11"/>
    <mergeCell ref="B12:C12"/>
    <mergeCell ref="D12:J12"/>
    <mergeCell ref="B13:C13"/>
    <mergeCell ref="D13:J13"/>
    <mergeCell ref="A1:J1"/>
    <mergeCell ref="A5:J5"/>
    <mergeCell ref="B10:C10"/>
    <mergeCell ref="D10:J10"/>
    <mergeCell ref="A3:J3"/>
    <mergeCell ref="A2:J2"/>
    <mergeCell ref="B6:J7"/>
    <mergeCell ref="G56:J56"/>
    <mergeCell ref="B78:J78"/>
    <mergeCell ref="D75:J75"/>
    <mergeCell ref="D76:J76"/>
    <mergeCell ref="B67:I67"/>
    <mergeCell ref="D72:J72"/>
    <mergeCell ref="D73:J73"/>
    <mergeCell ref="D74:J74"/>
    <mergeCell ref="G57:J57"/>
    <mergeCell ref="G59:J59"/>
    <mergeCell ref="G60:J60"/>
    <mergeCell ref="D63:D64"/>
    <mergeCell ref="E64:J64"/>
    <mergeCell ref="F65:G65"/>
    <mergeCell ref="D20:J20"/>
    <mergeCell ref="I66:J66"/>
    <mergeCell ref="D24:J24"/>
    <mergeCell ref="E63:J63"/>
    <mergeCell ref="D38:J38"/>
    <mergeCell ref="G28:J28"/>
    <mergeCell ref="G29:J29"/>
    <mergeCell ref="G31:J31"/>
    <mergeCell ref="G32:J32"/>
    <mergeCell ref="D34:J34"/>
    <mergeCell ref="G42:J42"/>
    <mergeCell ref="G43:J43"/>
    <mergeCell ref="G45:J45"/>
    <mergeCell ref="G46:J46"/>
    <mergeCell ref="D48:J48"/>
    <mergeCell ref="D52:J52"/>
  </mergeCells>
  <phoneticPr fontId="1"/>
  <conditionalFormatting sqref="M1:M1048576">
    <cfRule type="expression" dxfId="1" priority="1">
      <formula>$M1="OK"</formula>
    </cfRule>
    <cfRule type="expression" dxfId="0" priority="2">
      <formula>$M1="入力必須"</formula>
    </cfRule>
  </conditionalFormatting>
  <dataValidations count="2">
    <dataValidation type="date" imeMode="disabled" operator="greaterThanOrEqual" allowBlank="1" showInputMessage="1" showErrorMessage="1" errorTitle="★入力値エラー★" error="YYYY/MM/DD形式でお願いします。" promptTitle="★入力条件★" prompt="YYYY/MM/DD形式" sqref="D63" xr:uid="{71F914DE-C5E0-449F-8468-1DB77B640AF1}">
      <formula1>1</formula1>
    </dataValidation>
    <dataValidation type="date" imeMode="disabled" operator="greaterThanOrEqual" allowBlank="1" showInputMessage="1" showErrorMessage="1" errorTitle="★入力値エラー★" error="YYYY/MM/DD形式で入力してください。" promptTitle="★入力条件★" prompt="YYYY/MM/DD形式" sqref="D69" xr:uid="{63DF639A-828A-48FD-8A61-B8B6B92C368C}">
      <formula1>1</formula1>
    </dataValidation>
  </dataValidations>
  <printOptions horizontalCentered="1" verticalCentered="1"/>
  <pageMargins left="0.39370078740157477" right="0.39370078740157477" top="0.59055118110236215" bottom="0.59055118110236215" header="0.19685039370078738" footer="0.19685039370078738"/>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52A9-F405-4703-BB6B-5E837C370856}">
  <sheetPr codeName="Sheet5"/>
  <dimension ref="A1:P35"/>
  <sheetViews>
    <sheetView showGridLines="0" zoomScaleNormal="100" zoomScaleSheetLayoutView="100" workbookViewId="0"/>
  </sheetViews>
  <sheetFormatPr defaultRowHeight="18.75"/>
  <cols>
    <col min="1" max="1" width="5.625" customWidth="1"/>
    <col min="2" max="7" width="10.5" customWidth="1"/>
    <col min="8" max="8" width="9.75" customWidth="1"/>
    <col min="9" max="9" width="12.5" customWidth="1"/>
    <col min="10" max="16" width="10.75" customWidth="1"/>
    <col min="17" max="17" width="5.625" customWidth="1"/>
  </cols>
  <sheetData>
    <row r="1" spans="1:16">
      <c r="M1" s="290" t="s">
        <v>212</v>
      </c>
      <c r="N1" s="290"/>
      <c r="O1" s="290"/>
      <c r="P1" s="290"/>
    </row>
    <row r="2" spans="1:16" ht="19.5">
      <c r="A2" s="291" t="s">
        <v>213</v>
      </c>
      <c r="B2" s="291"/>
      <c r="C2" s="291"/>
      <c r="D2" s="291"/>
      <c r="E2" s="291"/>
      <c r="F2" s="291"/>
      <c r="G2" s="291"/>
      <c r="H2" s="291"/>
      <c r="I2" s="291"/>
      <c r="J2" s="291"/>
      <c r="K2" s="291"/>
      <c r="L2" s="291"/>
      <c r="M2" s="291"/>
      <c r="N2" s="291"/>
      <c r="O2" s="291"/>
      <c r="P2" s="291"/>
    </row>
    <row r="4" spans="1:16" ht="19.5">
      <c r="B4" s="301" t="s">
        <v>214</v>
      </c>
      <c r="C4" s="302"/>
      <c r="D4" s="302"/>
      <c r="E4" s="302"/>
      <c r="F4" s="302"/>
      <c r="G4" s="302"/>
      <c r="H4" s="303"/>
      <c r="J4" s="301" t="s">
        <v>215</v>
      </c>
      <c r="K4" s="302"/>
      <c r="L4" s="302"/>
      <c r="M4" s="302"/>
      <c r="N4" s="302"/>
      <c r="O4" s="302"/>
      <c r="P4" s="303"/>
    </row>
    <row r="6" spans="1:16">
      <c r="B6" s="304" t="s">
        <v>216</v>
      </c>
      <c r="C6" s="304"/>
      <c r="D6" s="304"/>
      <c r="E6" s="304"/>
      <c r="F6" s="304"/>
      <c r="G6" s="304"/>
      <c r="H6" s="304"/>
      <c r="J6" s="304" t="s">
        <v>216</v>
      </c>
      <c r="K6" s="304"/>
      <c r="L6" s="304"/>
      <c r="M6" s="304"/>
      <c r="N6" s="304"/>
      <c r="O6" s="304"/>
      <c r="P6" s="304"/>
    </row>
    <row r="7" spans="1:16">
      <c r="B7" s="305" t="s">
        <v>217</v>
      </c>
      <c r="C7" s="305"/>
      <c r="D7" s="305"/>
      <c r="E7" s="305"/>
      <c r="F7" s="305"/>
      <c r="G7" s="305"/>
      <c r="H7" s="305"/>
      <c r="J7" s="305" t="s">
        <v>218</v>
      </c>
      <c r="K7" s="305"/>
      <c r="L7" s="305"/>
      <c r="M7" s="305"/>
      <c r="N7" s="305"/>
      <c r="O7" s="305"/>
      <c r="P7" s="305"/>
    </row>
    <row r="8" spans="1:16">
      <c r="B8" s="304" t="s">
        <v>219</v>
      </c>
      <c r="C8" s="304"/>
      <c r="D8" s="304"/>
      <c r="E8" s="304"/>
      <c r="F8" s="304"/>
      <c r="G8" s="304"/>
      <c r="H8" s="304"/>
      <c r="J8" s="304" t="s">
        <v>219</v>
      </c>
      <c r="K8" s="304"/>
      <c r="L8" s="304"/>
      <c r="M8" s="304"/>
      <c r="N8" s="304"/>
      <c r="O8" s="304"/>
      <c r="P8" s="304"/>
    </row>
    <row r="9" spans="1:16">
      <c r="B9" t="s">
        <v>220</v>
      </c>
      <c r="C9" s="306" t="s">
        <v>221</v>
      </c>
      <c r="D9" s="306"/>
      <c r="E9" s="306"/>
      <c r="F9" s="306"/>
      <c r="G9" s="306"/>
      <c r="J9" t="s">
        <v>220</v>
      </c>
      <c r="K9" s="306" t="s">
        <v>222</v>
      </c>
      <c r="L9" s="306"/>
      <c r="M9" s="306"/>
      <c r="N9" s="306"/>
      <c r="O9" s="306"/>
    </row>
    <row r="12" spans="1:16" ht="26.65" customHeight="1">
      <c r="B12" s="292" t="s">
        <v>223</v>
      </c>
      <c r="C12" s="293"/>
      <c r="D12" s="293"/>
      <c r="E12" s="293"/>
      <c r="F12" s="293"/>
      <c r="G12" s="293"/>
      <c r="H12" s="294"/>
      <c r="J12" s="292" t="s">
        <v>224</v>
      </c>
      <c r="K12" s="293"/>
      <c r="L12" s="293"/>
      <c r="M12" s="293"/>
      <c r="N12" s="293"/>
      <c r="O12" s="293"/>
      <c r="P12" s="294"/>
    </row>
    <row r="13" spans="1:16" ht="26.65" customHeight="1">
      <c r="B13" s="295"/>
      <c r="C13" s="296"/>
      <c r="D13" s="296"/>
      <c r="E13" s="296"/>
      <c r="F13" s="296"/>
      <c r="G13" s="296"/>
      <c r="H13" s="297"/>
      <c r="J13" s="295"/>
      <c r="K13" s="296"/>
      <c r="L13" s="296"/>
      <c r="M13" s="296"/>
      <c r="N13" s="296"/>
      <c r="O13" s="296"/>
      <c r="P13" s="297"/>
    </row>
    <row r="14" spans="1:16" ht="26.65" customHeight="1">
      <c r="B14" s="295"/>
      <c r="C14" s="296"/>
      <c r="D14" s="296"/>
      <c r="E14" s="296"/>
      <c r="F14" s="296"/>
      <c r="G14" s="296"/>
      <c r="H14" s="297"/>
      <c r="J14" s="295"/>
      <c r="K14" s="296"/>
      <c r="L14" s="296"/>
      <c r="M14" s="296"/>
      <c r="N14" s="296"/>
      <c r="O14" s="296"/>
      <c r="P14" s="297"/>
    </row>
    <row r="15" spans="1:16" ht="26.65" customHeight="1">
      <c r="B15" s="295"/>
      <c r="C15" s="296"/>
      <c r="D15" s="296"/>
      <c r="E15" s="296"/>
      <c r="F15" s="296"/>
      <c r="G15" s="296"/>
      <c r="H15" s="297"/>
      <c r="J15" s="295"/>
      <c r="K15" s="296"/>
      <c r="L15" s="296"/>
      <c r="M15" s="296"/>
      <c r="N15" s="296"/>
      <c r="O15" s="296"/>
      <c r="P15" s="297"/>
    </row>
    <row r="16" spans="1:16" ht="26.65" customHeight="1">
      <c r="B16" s="295"/>
      <c r="C16" s="296"/>
      <c r="D16" s="296"/>
      <c r="E16" s="296"/>
      <c r="F16" s="296"/>
      <c r="G16" s="296"/>
      <c r="H16" s="297"/>
      <c r="J16" s="295"/>
      <c r="K16" s="296"/>
      <c r="L16" s="296"/>
      <c r="M16" s="296"/>
      <c r="N16" s="296"/>
      <c r="O16" s="296"/>
      <c r="P16" s="297"/>
    </row>
    <row r="17" spans="2:16" ht="26.65" customHeight="1">
      <c r="B17" s="295"/>
      <c r="C17" s="296"/>
      <c r="D17" s="296"/>
      <c r="E17" s="296"/>
      <c r="F17" s="296"/>
      <c r="G17" s="296"/>
      <c r="H17" s="297"/>
      <c r="J17" s="295"/>
      <c r="K17" s="296"/>
      <c r="L17" s="296"/>
      <c r="M17" s="296"/>
      <c r="N17" s="296"/>
      <c r="O17" s="296"/>
      <c r="P17" s="297"/>
    </row>
    <row r="18" spans="2:16" ht="26.65" customHeight="1">
      <c r="B18" s="295"/>
      <c r="C18" s="296"/>
      <c r="D18" s="296"/>
      <c r="E18" s="296"/>
      <c r="F18" s="296"/>
      <c r="G18" s="296"/>
      <c r="H18" s="297"/>
      <c r="J18" s="295"/>
      <c r="K18" s="296"/>
      <c r="L18" s="296"/>
      <c r="M18" s="296"/>
      <c r="N18" s="296"/>
      <c r="O18" s="296"/>
      <c r="P18" s="297"/>
    </row>
    <row r="19" spans="2:16" ht="26.65" customHeight="1">
      <c r="B19" s="295"/>
      <c r="C19" s="296"/>
      <c r="D19" s="296"/>
      <c r="E19" s="296"/>
      <c r="F19" s="296"/>
      <c r="G19" s="296"/>
      <c r="H19" s="297"/>
      <c r="J19" s="295"/>
      <c r="K19" s="296"/>
      <c r="L19" s="296"/>
      <c r="M19" s="296"/>
      <c r="N19" s="296"/>
      <c r="O19" s="296"/>
      <c r="P19" s="297"/>
    </row>
    <row r="20" spans="2:16" ht="26.65" customHeight="1">
      <c r="B20" s="295"/>
      <c r="C20" s="296"/>
      <c r="D20" s="296"/>
      <c r="E20" s="296"/>
      <c r="F20" s="296"/>
      <c r="G20" s="296"/>
      <c r="H20" s="297"/>
      <c r="J20" s="295"/>
      <c r="K20" s="296"/>
      <c r="L20" s="296"/>
      <c r="M20" s="296"/>
      <c r="N20" s="296"/>
      <c r="O20" s="296"/>
      <c r="P20" s="297"/>
    </row>
    <row r="21" spans="2:16" ht="26.65" customHeight="1">
      <c r="B21" s="295"/>
      <c r="C21" s="296"/>
      <c r="D21" s="296"/>
      <c r="E21" s="296"/>
      <c r="F21" s="296"/>
      <c r="G21" s="296"/>
      <c r="H21" s="297"/>
      <c r="J21" s="295"/>
      <c r="K21" s="296"/>
      <c r="L21" s="296"/>
      <c r="M21" s="296"/>
      <c r="N21" s="296"/>
      <c r="O21" s="296"/>
      <c r="P21" s="297"/>
    </row>
    <row r="22" spans="2:16" ht="26.65" customHeight="1">
      <c r="B22" s="295"/>
      <c r="C22" s="296"/>
      <c r="D22" s="296"/>
      <c r="E22" s="296"/>
      <c r="F22" s="296"/>
      <c r="G22" s="296"/>
      <c r="H22" s="297"/>
      <c r="J22" s="295"/>
      <c r="K22" s="296"/>
      <c r="L22" s="296"/>
      <c r="M22" s="296"/>
      <c r="N22" s="296"/>
      <c r="O22" s="296"/>
      <c r="P22" s="297"/>
    </row>
    <row r="23" spans="2:16" ht="26.65" customHeight="1">
      <c r="B23" s="295"/>
      <c r="C23" s="296"/>
      <c r="D23" s="296"/>
      <c r="E23" s="296"/>
      <c r="F23" s="296"/>
      <c r="G23" s="296"/>
      <c r="H23" s="297"/>
      <c r="J23" s="295"/>
      <c r="K23" s="296"/>
      <c r="L23" s="296"/>
      <c r="M23" s="296"/>
      <c r="N23" s="296"/>
      <c r="O23" s="296"/>
      <c r="P23" s="297"/>
    </row>
    <row r="24" spans="2:16" ht="26.65" customHeight="1">
      <c r="B24" s="295"/>
      <c r="C24" s="296"/>
      <c r="D24" s="296"/>
      <c r="E24" s="296"/>
      <c r="F24" s="296"/>
      <c r="G24" s="296"/>
      <c r="H24" s="297"/>
      <c r="J24" s="295"/>
      <c r="K24" s="296"/>
      <c r="L24" s="296"/>
      <c r="M24" s="296"/>
      <c r="N24" s="296"/>
      <c r="O24" s="296"/>
      <c r="P24" s="297"/>
    </row>
    <row r="25" spans="2:16" ht="26.65" customHeight="1">
      <c r="B25" s="295"/>
      <c r="C25" s="296"/>
      <c r="D25" s="296"/>
      <c r="E25" s="296"/>
      <c r="F25" s="296"/>
      <c r="G25" s="296"/>
      <c r="H25" s="297"/>
      <c r="J25" s="295"/>
      <c r="K25" s="296"/>
      <c r="L25" s="296"/>
      <c r="M25" s="296"/>
      <c r="N25" s="296"/>
      <c r="O25" s="296"/>
      <c r="P25" s="297"/>
    </row>
    <row r="26" spans="2:16" ht="26.65" customHeight="1">
      <c r="B26" s="295"/>
      <c r="C26" s="296"/>
      <c r="D26" s="296"/>
      <c r="E26" s="296"/>
      <c r="F26" s="296"/>
      <c r="G26" s="296"/>
      <c r="H26" s="297"/>
      <c r="J26" s="295"/>
      <c r="K26" s="296"/>
      <c r="L26" s="296"/>
      <c r="M26" s="296"/>
      <c r="N26" s="296"/>
      <c r="O26" s="296"/>
      <c r="P26" s="297"/>
    </row>
    <row r="27" spans="2:16" ht="26.65" customHeight="1">
      <c r="B27" s="295"/>
      <c r="C27" s="296"/>
      <c r="D27" s="296"/>
      <c r="E27" s="296"/>
      <c r="F27" s="296"/>
      <c r="G27" s="296"/>
      <c r="H27" s="297"/>
      <c r="J27" s="295"/>
      <c r="K27" s="296"/>
      <c r="L27" s="296"/>
      <c r="M27" s="296"/>
      <c r="N27" s="296"/>
      <c r="O27" s="296"/>
      <c r="P27" s="297"/>
    </row>
    <row r="28" spans="2:16" ht="26.65" customHeight="1">
      <c r="B28" s="295"/>
      <c r="C28" s="296"/>
      <c r="D28" s="296"/>
      <c r="E28" s="296"/>
      <c r="F28" s="296"/>
      <c r="G28" s="296"/>
      <c r="H28" s="297"/>
      <c r="J28" s="295"/>
      <c r="K28" s="296"/>
      <c r="L28" s="296"/>
      <c r="M28" s="296"/>
      <c r="N28" s="296"/>
      <c r="O28" s="296"/>
      <c r="P28" s="297"/>
    </row>
    <row r="29" spans="2:16" ht="26.65" customHeight="1">
      <c r="B29" s="295"/>
      <c r="C29" s="296"/>
      <c r="D29" s="296"/>
      <c r="E29" s="296"/>
      <c r="F29" s="296"/>
      <c r="G29" s="296"/>
      <c r="H29" s="297"/>
      <c r="J29" s="295"/>
      <c r="K29" s="296"/>
      <c r="L29" s="296"/>
      <c r="M29" s="296"/>
      <c r="N29" s="296"/>
      <c r="O29" s="296"/>
      <c r="P29" s="297"/>
    </row>
    <row r="30" spans="2:16" ht="26.65" customHeight="1">
      <c r="B30" s="295"/>
      <c r="C30" s="296"/>
      <c r="D30" s="296"/>
      <c r="E30" s="296"/>
      <c r="F30" s="296"/>
      <c r="G30" s="296"/>
      <c r="H30" s="297"/>
      <c r="J30" s="295"/>
      <c r="K30" s="296"/>
      <c r="L30" s="296"/>
      <c r="M30" s="296"/>
      <c r="N30" s="296"/>
      <c r="O30" s="296"/>
      <c r="P30" s="297"/>
    </row>
    <row r="31" spans="2:16" ht="45" customHeight="1">
      <c r="B31" s="298"/>
      <c r="C31" s="299"/>
      <c r="D31" s="299"/>
      <c r="E31" s="299"/>
      <c r="F31" s="299"/>
      <c r="G31" s="299"/>
      <c r="H31" s="300"/>
      <c r="J31" s="298"/>
      <c r="K31" s="299"/>
      <c r="L31" s="299"/>
      <c r="M31" s="299"/>
      <c r="N31" s="299"/>
      <c r="O31" s="299"/>
      <c r="P31" s="300"/>
    </row>
    <row r="33" spans="2:11">
      <c r="B33" s="60" t="s">
        <v>225</v>
      </c>
      <c r="C33" t="s">
        <v>226</v>
      </c>
      <c r="J33" s="60" t="s">
        <v>225</v>
      </c>
      <c r="K33" t="s">
        <v>227</v>
      </c>
    </row>
    <row r="34" spans="2:11">
      <c r="C34" t="s">
        <v>228</v>
      </c>
      <c r="K34" t="s">
        <v>228</v>
      </c>
    </row>
    <row r="35" spans="2:11">
      <c r="C35" t="s">
        <v>229</v>
      </c>
      <c r="K35" t="s">
        <v>230</v>
      </c>
    </row>
  </sheetData>
  <sheetProtection formatCells="0" formatColumns="0" formatRows="0" insertColumns="0" insertRows="0" insertHyperlinks="0" deleteColumns="0" deleteRows="0" sort="0" autoFilter="0" pivotTables="0"/>
  <mergeCells count="14">
    <mergeCell ref="M1:P1"/>
    <mergeCell ref="A2:P2"/>
    <mergeCell ref="B12:H31"/>
    <mergeCell ref="B4:H4"/>
    <mergeCell ref="B6:H6"/>
    <mergeCell ref="B7:H7"/>
    <mergeCell ref="B8:H8"/>
    <mergeCell ref="C9:G9"/>
    <mergeCell ref="J4:P4"/>
    <mergeCell ref="J6:P6"/>
    <mergeCell ref="J7:P7"/>
    <mergeCell ref="J8:P8"/>
    <mergeCell ref="J12:P31"/>
    <mergeCell ref="K9:O9"/>
  </mergeCells>
  <phoneticPr fontId="1"/>
  <hyperlinks>
    <hyperlink ref="C9" r:id="rId1" xr:uid="{133611B2-58E7-4B8F-9BC8-DECF8918EA20}"/>
    <hyperlink ref="K9" r:id="rId2" xr:uid="{7AD5C46E-1E8C-402B-B327-4D4F7F1EF6FD}"/>
  </hyperlinks>
  <printOptions horizontalCentered="1"/>
  <pageMargins left="0.39370078740157477" right="0.39370078740157477" top="0.59055118110236215" bottom="0.59055118110236215" header="0.19685039370078738" footer="0.19685039370078738"/>
  <pageSetup paperSize="8" scale="8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6781-BF67-40DC-881E-8C5F68B6ACE4}">
  <sheetPr codeName="Sheet8">
    <pageSetUpPr fitToPage="1"/>
  </sheetPr>
  <dimension ref="A1:F18"/>
  <sheetViews>
    <sheetView showGridLines="0" zoomScaleNormal="100" workbookViewId="0">
      <pane ySplit="1" topLeftCell="A38" activePane="bottomLeft" state="frozen"/>
      <selection pane="bottomLeft"/>
    </sheetView>
  </sheetViews>
  <sheetFormatPr defaultColWidth="12.625" defaultRowHeight="30" customHeight="1"/>
  <cols>
    <col min="1" max="1" width="12.625" style="140" customWidth="1"/>
    <col min="2" max="2" width="20.625" style="140" customWidth="1"/>
    <col min="3" max="3" width="8.625" style="140" customWidth="1"/>
    <col min="4" max="4" width="18.625" style="140" customWidth="1"/>
    <col min="5" max="5" width="10.625" style="140" customWidth="1"/>
    <col min="6" max="6" width="120.625" style="140" customWidth="1"/>
    <col min="7" max="16384" width="12.625" style="140"/>
  </cols>
  <sheetData>
    <row r="1" spans="1:6" ht="30" customHeight="1">
      <c r="B1" s="159" t="s">
        <v>231</v>
      </c>
      <c r="C1" s="160" t="s">
        <v>232</v>
      </c>
      <c r="D1" s="160" t="s">
        <v>233</v>
      </c>
      <c r="E1" s="160" t="s">
        <v>234</v>
      </c>
      <c r="F1" s="161" t="s">
        <v>235</v>
      </c>
    </row>
    <row r="2" spans="1:6" ht="30" customHeight="1">
      <c r="A2" s="139" t="str">
        <f ca="1">HYPERLINK("#"&amp;B2&amp;"!"&amp;C2,"設問に戻る")</f>
        <v>設問に戻る</v>
      </c>
      <c r="B2" s="150" t="str" cm="1">
        <f t="array" aca="1" ref="B2" ca="1">MID(CELL("filename",【A】実務経験要件判定シート!$A$1),FIND("]",CELL("filename",【A】実務経験要件判定シート!$A$1))+1,31)</f>
        <v>【A】実務経験要件判定シート</v>
      </c>
      <c r="C2" s="142" t="str">
        <f>ADDRESS(ROW(【A】実務経験要件判定シート!申請区分),COLUMN(【A】実務経験要件判定シート!申請区分),4)</f>
        <v>D10</v>
      </c>
      <c r="D2" s="156" t="s">
        <v>94</v>
      </c>
      <c r="E2" s="153" t="s">
        <v>236</v>
      </c>
      <c r="F2" s="143" t="s">
        <v>237</v>
      </c>
    </row>
    <row r="3" spans="1:6" ht="30" customHeight="1">
      <c r="A3" s="141" t="str">
        <f t="shared" ref="A3:A11" ca="1" si="0">HYPERLINK("#"&amp;B3&amp;"!"&amp;C3,"設問に戻る")</f>
        <v>設問に戻る</v>
      </c>
      <c r="B3" s="151" t="str" cm="1">
        <f t="array" aca="1" ref="B3" ca="1">MID(CELL("filename",【A】実務経験要件判定シート!$A$1),FIND("]",CELL("filename",【A】実務経験要件判定シート!$A$1))+1,31)</f>
        <v>【A】実務経験要件判定シート</v>
      </c>
      <c r="C3" s="144" t="str">
        <f>ADDRESS(ROW(【A】実務経験要件判定シート!名前),COLUMN(【A】実務経験要件判定シート!名前),4)</f>
        <v>D12</v>
      </c>
      <c r="D3" s="146" t="s">
        <v>238</v>
      </c>
      <c r="E3" s="154" t="s">
        <v>239</v>
      </c>
      <c r="F3" s="145" t="s">
        <v>240</v>
      </c>
    </row>
    <row r="4" spans="1:6" ht="30" customHeight="1">
      <c r="A4" s="141" t="str">
        <f t="shared" ca="1" si="0"/>
        <v>設問に戻る</v>
      </c>
      <c r="B4" s="151" t="str" cm="1">
        <f t="array" aca="1" ref="B4" ca="1">MID(CELL("filename",【A】実務経験要件判定シート!$A$1),FIND("]",CELL("filename",【A】実務経験要件判定シート!$A$1))+1,31)</f>
        <v>【A】実務経験要件判定シート</v>
      </c>
      <c r="C4" s="144" t="str">
        <f>ADDRESS(ROW(【A】実務経験要件判定シート!生年月日),COLUMN(【A】実務経験要件判定シート!生年月日),4)</f>
        <v>D13</v>
      </c>
      <c r="D4" s="146" t="s">
        <v>241</v>
      </c>
      <c r="E4" s="154" t="s">
        <v>239</v>
      </c>
      <c r="F4" s="145" t="s">
        <v>240</v>
      </c>
    </row>
    <row r="5" spans="1:6" ht="30" customHeight="1">
      <c r="A5" s="141" t="str">
        <f t="shared" ca="1" si="0"/>
        <v>設問に戻る</v>
      </c>
      <c r="B5" s="151" t="str" cm="1">
        <f t="array" aca="1" ref="B5" ca="1">MID(CELL("filename",【A】実務経験要件判定シート!$A$1),FIND("]",CELL("filename",【A】実務経験要件判定シート!$A$1))+1,31)</f>
        <v>【A】実務経験要件判定シート</v>
      </c>
      <c r="C5" s="144" t="str">
        <f>ADDRESS(ROW(【A】実務経験要件判定シート!国籍▼地域),COLUMN(【A】実務経験要件判定シート!国籍▼地域),4)</f>
        <v>D14</v>
      </c>
      <c r="D5" s="146" t="s">
        <v>242</v>
      </c>
      <c r="E5" s="154" t="s">
        <v>239</v>
      </c>
      <c r="F5" s="145" t="s">
        <v>240</v>
      </c>
    </row>
    <row r="6" spans="1:6" ht="30" customHeight="1">
      <c r="A6" s="141" t="str">
        <f t="shared" ca="1" si="0"/>
        <v>設問に戻る</v>
      </c>
      <c r="B6" s="151" t="str" cm="1">
        <f t="array" aca="1" ref="B6" ca="1">MID(CELL("filename",【A】実務経験要件判定シート!$A$1),FIND("]",CELL("filename",【A】実務経験要件判定シート!$A$1))+1,31)</f>
        <v>【A】実務経験要件判定シート</v>
      </c>
      <c r="C6" s="144" t="str">
        <f>ADDRESS(ROW(業種),COLUMN(業種),4)</f>
        <v>D15</v>
      </c>
      <c r="D6" s="146" t="s">
        <v>243</v>
      </c>
      <c r="E6" s="154" t="s">
        <v>236</v>
      </c>
      <c r="F6" s="145" t="s">
        <v>244</v>
      </c>
    </row>
    <row r="7" spans="1:6" ht="30" customHeight="1">
      <c r="A7" s="141" t="str">
        <f t="shared" ca="1" si="0"/>
        <v>設問に戻る</v>
      </c>
      <c r="B7" s="151" t="str" cm="1">
        <f t="array" aca="1" ref="B7" ca="1">MID(CELL("filename",【A】実務経験要件判定シート!$A$1),FIND("]",CELL("filename",【A】実務経験要件判定シート!$A$1))+1,31)</f>
        <v>【A】実務経験要件判定シート</v>
      </c>
      <c r="C7" s="144" t="str">
        <f>ADDRESS(ROW(【A】実務経験要件判定シート!チェック▼必須),COLUMN(【A】実務経験要件判定シート!チェック▼必須),4)</f>
        <v>B24</v>
      </c>
      <c r="D7" s="157" t="s">
        <v>245</v>
      </c>
      <c r="E7" s="154" t="s">
        <v>246</v>
      </c>
      <c r="F7" s="145" t="s">
        <v>247</v>
      </c>
    </row>
    <row r="8" spans="1:6" ht="30" customHeight="1">
      <c r="A8" s="141" t="str">
        <f t="shared" ca="1" si="0"/>
        <v>設問に戻る</v>
      </c>
      <c r="B8" s="151" t="str" cm="1">
        <f t="array" aca="1" ref="B8" ca="1">MID(CELL("filename",【A】実務経験要件判定シート!$A$1),FIND("]",CELL("filename",【A】実務経験要件判定シート!$A$1))+1,31)</f>
        <v>【A】実務経験要件判定シート</v>
      </c>
      <c r="C8" s="144" t="str">
        <f>ADDRESS(ROW(【A】実務経験要件判定シート!受験予定日),COLUMN(【A】実務経験要件判定シート!受験予定日),4)</f>
        <v>D26</v>
      </c>
      <c r="D8" s="146" t="s">
        <v>248</v>
      </c>
      <c r="E8" s="154" t="s">
        <v>239</v>
      </c>
      <c r="F8" s="145" t="s">
        <v>240</v>
      </c>
    </row>
    <row r="9" spans="1:6" ht="30" customHeight="1">
      <c r="A9" s="141" t="str">
        <f t="shared" ca="1" si="0"/>
        <v>設問に戻る</v>
      </c>
      <c r="B9" s="151" t="str" cm="1">
        <f t="array" aca="1" ref="B9" ca="1">MID(CELL("filename",【A】実務経験要件判定シート!$A$1),FIND("]",CELL("filename",【A】実務経験要件判定シート!$A$1))+1,31)</f>
        <v>【A】実務経験要件判定シート</v>
      </c>
      <c r="C9" s="144" t="str">
        <f>ADDRESS(ROW(【A】実務経験要件判定シート!企業A▼企業名),COLUMN(【A】実務経験要件判定シート!企業A▼企業名),4)</f>
        <v>D28</v>
      </c>
      <c r="D9" s="146" t="s">
        <v>118</v>
      </c>
      <c r="E9" s="154" t="s">
        <v>239</v>
      </c>
      <c r="F9" s="145" t="s">
        <v>240</v>
      </c>
    </row>
    <row r="10" spans="1:6" ht="30" customHeight="1">
      <c r="A10" s="141" t="str">
        <f t="shared" ca="1" si="0"/>
        <v>設問に戻る</v>
      </c>
      <c r="B10" s="151" t="str" cm="1">
        <f t="array" aca="1" ref="B10" ca="1">MID(CELL("filename",【A】実務経験要件判定シート!$A$1),FIND("]",CELL("filename",【A】実務経験要件判定シート!$A$1))+1,31)</f>
        <v>【A】実務経験要件判定シート</v>
      </c>
      <c r="C10" s="144" t="str">
        <f>ADDRESS(ROW(【A】実務経験要件判定シート!企業A▼開始日),COLUMN(【A】実務経験要件判定シート!企業A▼開始日),4)</f>
        <v>D29</v>
      </c>
      <c r="D10" s="146" t="s">
        <v>249</v>
      </c>
      <c r="E10" s="154" t="s">
        <v>239</v>
      </c>
      <c r="F10" s="147" t="s">
        <v>250</v>
      </c>
    </row>
    <row r="11" spans="1:6" ht="30" customHeight="1">
      <c r="A11" s="141" t="str">
        <f t="shared" ca="1" si="0"/>
        <v>設問に戻る</v>
      </c>
      <c r="B11" s="151" t="str" cm="1">
        <f t="array" aca="1" ref="B11" ca="1">MID(CELL("filename",【A】実務経験要件判定シート!$A$1),FIND("]",CELL("filename",【A】実務経験要件判定シート!$A$1))+1,31)</f>
        <v>【A】実務経験要件判定シート</v>
      </c>
      <c r="C11" s="144" t="str">
        <f>ADDRESS(ROW(【A】実務経験要件判定シート!企業A▼終了日),COLUMN(【A】実務経験要件判定シート!企業A▼終了日),4)</f>
        <v>D30</v>
      </c>
      <c r="D11" s="146" t="s">
        <v>251</v>
      </c>
      <c r="E11" s="154" t="s">
        <v>239</v>
      </c>
      <c r="F11" s="147" t="s">
        <v>252</v>
      </c>
    </row>
    <row r="12" spans="1:6" ht="30" customHeight="1">
      <c r="A12" s="139" t="str">
        <f t="shared" ref="A12:A18" ca="1" si="1">HYPERLINK("#"&amp;B12&amp;"!"&amp;C12,"設問に戻る")</f>
        <v>設問に戻る</v>
      </c>
      <c r="B12" s="151" t="str" cm="1">
        <f t="array" aca="1" ref="B12" ca="1">MID(CELL("filename",【A】実務経験要件判定シート!$A$1),FIND("]",CELL("filename",【A】実務経験要件判定シート!$A$1))+1,31)</f>
        <v>【A】実務経験要件判定シート</v>
      </c>
      <c r="C12" s="144" t="str">
        <f>ADDRESS(ROW(【A】実務経験要件判定シート!企業A▼人数),COLUMN(【A】実務経験要件判定シート!企業A▼人数),4)</f>
        <v>D37</v>
      </c>
      <c r="D12" s="146" t="s">
        <v>253</v>
      </c>
      <c r="E12" s="154" t="s">
        <v>239</v>
      </c>
      <c r="F12" s="147" t="s">
        <v>254</v>
      </c>
    </row>
    <row r="13" spans="1:6" ht="80.099999999999994" customHeight="1">
      <c r="A13" s="139" t="str">
        <f t="shared" ca="1" si="1"/>
        <v>設問に戻る</v>
      </c>
      <c r="B13" s="151" t="str" cm="1">
        <f t="array" aca="1" ref="B13" ca="1">MID(CELL("filename",【A】実務経験要件判定シート!$A$1),FIND("]",CELL("filename",【A】実務経験要件判定シート!$A$1))+1,31)</f>
        <v>【A】実務経験要件判定シート</v>
      </c>
      <c r="C13" s="144" t="str">
        <f>ADDRESS(ROW(【A】実務経験要件判定シート!企業A▼②管理業務),COLUMN(【A】実務経験要件判定シート!企業A▼②管理業務),4)</f>
        <v>C38</v>
      </c>
      <c r="D13" s="146" t="s">
        <v>133</v>
      </c>
      <c r="E13" s="154" t="s">
        <v>239</v>
      </c>
      <c r="F13" s="145" t="s">
        <v>255</v>
      </c>
    </row>
    <row r="14" spans="1:6" ht="80.099999999999994" customHeight="1">
      <c r="A14" s="139" t="str">
        <f t="shared" ca="1" si="1"/>
        <v>設問に戻る</v>
      </c>
      <c r="B14" s="151" t="str" cm="1">
        <f t="array" aca="1" ref="B14" ca="1">MID(CELL("filename",【A】実務経験要件判定シート!$A$1),FIND("]",CELL("filename",【A】実務経験要件判定シート!$A$1))+1,31)</f>
        <v>【A】実務経験要件判定シート</v>
      </c>
      <c r="C14" s="144" t="str">
        <f>ADDRESS(ROW(【A】実務経験要件判定シート!企業A▼③指導業務),COLUMN(【A】実務経験要件判定シート!企業A▼③指導業務),4)</f>
        <v>C44</v>
      </c>
      <c r="D14" s="146" t="s">
        <v>142</v>
      </c>
      <c r="E14" s="154" t="s">
        <v>239</v>
      </c>
      <c r="F14" s="145" t="s">
        <v>256</v>
      </c>
    </row>
    <row r="15" spans="1:6" ht="170.1" customHeight="1">
      <c r="A15" s="139" t="str">
        <f t="shared" ca="1" si="1"/>
        <v>設問に戻る</v>
      </c>
      <c r="B15" s="151" t="str" cm="1">
        <f t="array" aca="1" ref="B15" ca="1">MID(CELL("filename",【A】実務経験要件判定シート!$A$1),FIND("]",CELL("filename",【A】実務経験要件判定シート!$A$1))+1,31)</f>
        <v>【A】実務経験要件判定シート</v>
      </c>
      <c r="C15" s="144" t="str">
        <f>ADDRESS(ROW(【A】実務経験要件判定シート!④受験可否判定),COLUMN(【A】実務経験要件判定シート!④受験可否判定),4)</f>
        <v>I95</v>
      </c>
      <c r="D15" s="146" t="s">
        <v>257</v>
      </c>
      <c r="E15" s="154" t="s">
        <v>33</v>
      </c>
      <c r="F15" s="145" t="s">
        <v>258</v>
      </c>
    </row>
    <row r="16" spans="1:6" ht="100.15" customHeight="1">
      <c r="A16" s="139" t="str">
        <f t="shared" ca="1" si="1"/>
        <v>設問に戻る</v>
      </c>
      <c r="B16" s="151" t="str" cm="1">
        <f t="array" aca="1" ref="B16" ca="1">MID(CELL("filename",【A】実務経験要件判定シート!$A$1),FIND("]",CELL("filename",【A】実務経験要件判定シート!$A$1))+1,31)</f>
        <v>【A】実務経験要件判定シート</v>
      </c>
      <c r="C16" s="144" t="str">
        <f>ADDRESS(ROW(【A】実務経験要件判定シート!⑤経過措置による受験可否判定▼a),COLUMN(【A】実務経験要件判定シート!⑤経過措置による受験可否判定▼a),4)</f>
        <v>I100</v>
      </c>
      <c r="D16" s="146" t="s">
        <v>259</v>
      </c>
      <c r="E16" s="154" t="s">
        <v>33</v>
      </c>
      <c r="F16" s="145" t="s">
        <v>260</v>
      </c>
    </row>
    <row r="17" spans="1:6" ht="220.15" customHeight="1">
      <c r="A17" s="139" t="str">
        <f t="shared" ca="1" si="1"/>
        <v>設問に戻る</v>
      </c>
      <c r="B17" s="151" t="str" cm="1">
        <f t="array" aca="1" ref="B17" ca="1">MID(CELL("filename",【A】実務経験要件判定シート!$A$1),FIND("]",CELL("filename",【A】実務経験要件判定シート!$A$1))+1,31)</f>
        <v>【A】実務経験要件判定シート</v>
      </c>
      <c r="C17" s="144" t="str">
        <f>ADDRESS(ROW(【A】実務経験要件判定シート!⑤経過措置による受験可否判定▼b),COLUMN(【A】実務経験要件判定シート!⑤経過措置による受験可否判定▼b),4)</f>
        <v>I104</v>
      </c>
      <c r="D17" s="146" t="s">
        <v>261</v>
      </c>
      <c r="E17" s="154" t="s">
        <v>33</v>
      </c>
      <c r="F17" s="145" t="s">
        <v>262</v>
      </c>
    </row>
    <row r="18" spans="1:6" ht="150" customHeight="1">
      <c r="A18" s="139" t="str">
        <f t="shared" ca="1" si="1"/>
        <v>設問に戻る</v>
      </c>
      <c r="B18" s="152" t="str" cm="1">
        <f t="array" aca="1" ref="B18" ca="1">MID(CELL("filename",【A】実務経験要件判定シート!$A$1),FIND("]",CELL("filename",【A】実務経験要件判定シート!$A$1))+1,31)</f>
        <v>【A】実務経験要件判定シート</v>
      </c>
      <c r="C18" s="148" t="str">
        <f>ADDRESS(ROW(【A】実務経験要件判定シート!⑤受験可否判定),COLUMN(【A】実務経験要件判定シート!⑤受験可否判定),4)</f>
        <v>D105</v>
      </c>
      <c r="D18" s="158" t="s">
        <v>263</v>
      </c>
      <c r="E18" s="155" t="s">
        <v>33</v>
      </c>
      <c r="F18" s="149" t="s">
        <v>264</v>
      </c>
    </row>
  </sheetData>
  <phoneticPr fontId="1"/>
  <printOptions horizontalCentered="1" gridLines="1"/>
  <pageMargins left="0.39370078740157477" right="0.39370078740157477" top="0.59055118110236215" bottom="0.59055118110236215" header="0.19685039370078738" footer="0.19685039370078738"/>
  <pageSetup paperSize="8"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9784-92D1-46A5-B576-71A0BEE474CC}">
  <sheetPr codeName="Sheet6"/>
  <dimension ref="A1:W30"/>
  <sheetViews>
    <sheetView zoomScaleNormal="100" workbookViewId="0">
      <selection activeCell="A6" sqref="A6"/>
    </sheetView>
  </sheetViews>
  <sheetFormatPr defaultColWidth="12.625" defaultRowHeight="20.100000000000001" customHeight="1"/>
  <cols>
    <col min="1" max="1" width="12.625" customWidth="1"/>
    <col min="3" max="3" width="12.625" customWidth="1"/>
    <col min="5" max="5" width="29" bestFit="1" customWidth="1"/>
    <col min="6" max="6" width="31.75" bestFit="1" customWidth="1"/>
    <col min="7" max="7" width="80.75" bestFit="1" customWidth="1"/>
    <col min="14" max="14" width="25.625" customWidth="1"/>
    <col min="15" max="15" width="40.625" customWidth="1"/>
    <col min="16" max="23" width="50.625" customWidth="1"/>
  </cols>
  <sheetData>
    <row r="1" spans="1:23" ht="20.100000000000001" customHeight="1">
      <c r="A1" t="s">
        <v>94</v>
      </c>
      <c r="C1" t="s">
        <v>243</v>
      </c>
      <c r="E1" t="s">
        <v>231</v>
      </c>
      <c r="F1" t="s">
        <v>265</v>
      </c>
      <c r="G1" t="s">
        <v>33</v>
      </c>
      <c r="H1" t="s">
        <v>266</v>
      </c>
      <c r="I1" t="s">
        <v>267</v>
      </c>
      <c r="K1" t="s">
        <v>266</v>
      </c>
      <c r="L1" t="s">
        <v>267</v>
      </c>
    </row>
    <row r="2" spans="1:23" ht="20.100000000000001" customHeight="1">
      <c r="A2" t="s">
        <v>96</v>
      </c>
      <c r="C2" t="s">
        <v>268</v>
      </c>
      <c r="E2" t="str" cm="1">
        <f t="array" aca="1" ref="E2" ca="1">MID(CELL("filename",【A】実務経験要件判定シート!$A$1),FIND("]",CELL("filename",【A】実務経験要件判定シート!$A$1))+1,31)</f>
        <v>【A】実務経験要件判定シート</v>
      </c>
      <c r="F2" s="165" t="s">
        <v>259</v>
      </c>
      <c r="G2" t="s">
        <v>269</v>
      </c>
      <c r="H2">
        <v>1</v>
      </c>
      <c r="I2" t="str">
        <f>VLOOKUP(判定マスタTB[[#This Row],[色番号]],色マスタTB[],2,0)</f>
        <v>ピンク</v>
      </c>
      <c r="K2">
        <v>1</v>
      </c>
      <c r="L2" t="s">
        <v>270</v>
      </c>
    </row>
    <row r="3" spans="1:23" ht="20.100000000000001" customHeight="1">
      <c r="A3" t="s">
        <v>271</v>
      </c>
      <c r="C3" t="s">
        <v>272</v>
      </c>
      <c r="E3" t="str" cm="1">
        <f t="array" aca="1" ref="E3" ca="1">MID(CELL("filename",【A】実務経験要件判定シート!$A$1),FIND("]",CELL("filename",【A】実務経験要件判定シート!$A$1))+1,31)</f>
        <v>【A】実務経験要件判定シート</v>
      </c>
      <c r="F3" s="165" t="s">
        <v>259</v>
      </c>
      <c r="G3" t="s">
        <v>273</v>
      </c>
      <c r="H3">
        <v>2</v>
      </c>
      <c r="I3" t="str">
        <f>VLOOKUP(判定マスタTB[[#This Row],[色番号]],色マスタTB[],2,0)</f>
        <v>緑色</v>
      </c>
      <c r="K3">
        <v>2</v>
      </c>
      <c r="L3" t="s">
        <v>274</v>
      </c>
      <c r="N3" s="124" t="s">
        <v>275</v>
      </c>
    </row>
    <row r="4" spans="1:23" ht="20.100000000000001" customHeight="1">
      <c r="E4" t="str" cm="1">
        <f t="array" aca="1" ref="E4" ca="1">MID(CELL("filename",【A】実務経験要件判定シート!$A$1),FIND("]",CELL("filename",【A】実務経験要件判定シート!$A$1))+1,31)</f>
        <v>【A】実務経験要件判定シート</v>
      </c>
      <c r="F4" s="165" t="s">
        <v>261</v>
      </c>
      <c r="G4" t="s">
        <v>276</v>
      </c>
      <c r="H4">
        <v>2</v>
      </c>
      <c r="I4" t="str">
        <f>VLOOKUP(判定マスタTB[[#This Row],[色番号]],色マスタTB[],2,0)</f>
        <v>緑色</v>
      </c>
      <c r="K4">
        <v>3</v>
      </c>
      <c r="L4" t="s">
        <v>277</v>
      </c>
      <c r="N4" s="124" t="s">
        <v>278</v>
      </c>
      <c r="O4" s="124" t="s">
        <v>279</v>
      </c>
      <c r="P4" s="125" t="s">
        <v>280</v>
      </c>
      <c r="Q4" s="125" t="s">
        <v>281</v>
      </c>
      <c r="R4" s="125" t="s">
        <v>282</v>
      </c>
      <c r="S4" s="125" t="s">
        <v>283</v>
      </c>
      <c r="T4" s="125"/>
      <c r="U4" s="125"/>
      <c r="V4" s="125"/>
      <c r="W4" s="125"/>
    </row>
    <row r="5" spans="1:23" ht="20.100000000000001" customHeight="1">
      <c r="A5" t="s">
        <v>284</v>
      </c>
      <c r="E5" t="str" cm="1">
        <f t="array" aca="1" ref="E5" ca="1">MID(CELL("filename",【A】実務経験要件判定シート!$A$1),FIND("]",CELL("filename",【A】実務経験要件判定シート!$A$1))+1,31)</f>
        <v>【A】実務経験要件判定シート</v>
      </c>
      <c r="F5" s="165" t="s">
        <v>261</v>
      </c>
      <c r="G5" t="s">
        <v>285</v>
      </c>
      <c r="H5">
        <v>3</v>
      </c>
      <c r="I5" t="str">
        <f>VLOOKUP(判定マスタTB[[#This Row],[色番号]],色マスタTB[],2,0)</f>
        <v>水色</v>
      </c>
      <c r="K5">
        <v>4</v>
      </c>
      <c r="L5" t="s">
        <v>286</v>
      </c>
      <c r="N5" s="124" t="s">
        <v>287</v>
      </c>
      <c r="O5" s="124" t="s">
        <v>288</v>
      </c>
      <c r="P5" s="125" t="s">
        <v>289</v>
      </c>
      <c r="Q5" s="125" t="s">
        <v>290</v>
      </c>
      <c r="R5" s="125" t="s">
        <v>283</v>
      </c>
      <c r="S5" s="125"/>
      <c r="T5" s="125"/>
      <c r="U5" s="125"/>
      <c r="V5" s="125"/>
      <c r="W5" s="125"/>
    </row>
    <row r="6" spans="1:23" ht="20.100000000000001" customHeight="1">
      <c r="E6" t="str" cm="1">
        <f t="array" aca="1" ref="E6" ca="1">MID(CELL("filename",【A】実務経験要件判定シート!$A$1),FIND("]",CELL("filename",【A】実務経験要件判定シート!$A$1))+1,31)</f>
        <v>【A】実務経験要件判定シート</v>
      </c>
      <c r="F6" s="165" t="s">
        <v>261</v>
      </c>
      <c r="G6" t="s">
        <v>291</v>
      </c>
      <c r="H6">
        <v>1</v>
      </c>
      <c r="I6" t="str">
        <f>VLOOKUP(判定マスタTB[[#This Row],[色番号]],色マスタTB[],2,0)</f>
        <v>ピンク</v>
      </c>
      <c r="K6">
        <v>5</v>
      </c>
      <c r="L6" t="s">
        <v>292</v>
      </c>
      <c r="N6" s="124" t="s">
        <v>293</v>
      </c>
      <c r="O6" s="124" t="s">
        <v>294</v>
      </c>
      <c r="P6" s="125" t="s">
        <v>295</v>
      </c>
      <c r="Q6" s="125" t="s">
        <v>296</v>
      </c>
      <c r="R6" s="125" t="s">
        <v>297</v>
      </c>
      <c r="S6" s="125" t="s">
        <v>298</v>
      </c>
      <c r="T6" s="125" t="s">
        <v>299</v>
      </c>
      <c r="U6" s="125" t="s">
        <v>300</v>
      </c>
      <c r="V6" s="125" t="s">
        <v>301</v>
      </c>
      <c r="W6" s="125" t="s">
        <v>283</v>
      </c>
    </row>
    <row r="7" spans="1:23" ht="20.100000000000001" customHeight="1">
      <c r="E7" t="str" cm="1">
        <f t="array" aca="1" ref="E7" ca="1">MID(CELL("filename",【A】実務経験要件判定シート!$A$1),FIND("]",CELL("filename",【A】実務経験要件判定シート!$A$1))+1,31)</f>
        <v>【A】実務経験要件判定シート</v>
      </c>
      <c r="F7" t="s">
        <v>302</v>
      </c>
      <c r="G7" t="s">
        <v>276</v>
      </c>
      <c r="H7">
        <v>2</v>
      </c>
      <c r="I7" t="str">
        <f>VLOOKUP(判定マスタTB[[#This Row],[色番号]],色マスタTB[],2,0)</f>
        <v>緑色</v>
      </c>
      <c r="K7">
        <v>6</v>
      </c>
      <c r="L7" t="s">
        <v>303</v>
      </c>
      <c r="N7" s="124" t="s">
        <v>304</v>
      </c>
      <c r="O7" s="124" t="s">
        <v>305</v>
      </c>
      <c r="P7" s="125" t="s">
        <v>306</v>
      </c>
      <c r="Q7" s="125" t="s">
        <v>307</v>
      </c>
      <c r="R7" s="125" t="s">
        <v>308</v>
      </c>
      <c r="S7" s="125" t="s">
        <v>283</v>
      </c>
      <c r="T7" s="125"/>
      <c r="U7" s="125"/>
      <c r="V7" s="125"/>
      <c r="W7" s="125"/>
    </row>
    <row r="8" spans="1:23" ht="20.100000000000001" customHeight="1">
      <c r="E8" t="str" cm="1">
        <f t="array" aca="1" ref="E8" ca="1">MID(CELL("filename",【A】実務経験要件判定シート!$A$1),FIND("]",CELL("filename",【A】実務経験要件判定シート!$A$1))+1,31)</f>
        <v>【A】実務経験要件判定シート</v>
      </c>
      <c r="F8" t="s">
        <v>302</v>
      </c>
      <c r="G8" t="s">
        <v>309</v>
      </c>
      <c r="H8">
        <v>3</v>
      </c>
      <c r="I8" t="str">
        <f>VLOOKUP(判定マスタTB[[#This Row],[色番号]],色マスタTB[],2,0)</f>
        <v>水色</v>
      </c>
      <c r="N8" s="124" t="s">
        <v>310</v>
      </c>
      <c r="O8" s="124" t="s">
        <v>311</v>
      </c>
      <c r="P8" s="125" t="s">
        <v>312</v>
      </c>
      <c r="Q8" s="125" t="s">
        <v>313</v>
      </c>
      <c r="R8" s="125" t="s">
        <v>314</v>
      </c>
      <c r="S8" s="125" t="s">
        <v>283</v>
      </c>
      <c r="T8" s="125"/>
      <c r="U8" s="125"/>
      <c r="V8" s="125"/>
      <c r="W8" s="125"/>
    </row>
    <row r="9" spans="1:23" ht="20.100000000000001" customHeight="1">
      <c r="E9" t="str" cm="1">
        <f t="array" aca="1" ref="E9" ca="1">MID(CELL("filename",【A】実務経験要件判定シート!$A$1),FIND("]",CELL("filename",【A】実務経験要件判定シート!$A$1))+1,31)</f>
        <v>【A】実務経験要件判定シート</v>
      </c>
      <c r="F9" t="s">
        <v>302</v>
      </c>
      <c r="G9" t="s">
        <v>291</v>
      </c>
      <c r="H9">
        <v>1</v>
      </c>
      <c r="I9" t="str">
        <f>VLOOKUP(判定マスタTB[[#This Row],[色番号]],色マスタTB[],2,0)</f>
        <v>ピンク</v>
      </c>
      <c r="N9" s="124" t="s">
        <v>315</v>
      </c>
      <c r="O9" s="124" t="s">
        <v>316</v>
      </c>
      <c r="P9" s="125" t="s">
        <v>317</v>
      </c>
      <c r="Q9" s="125" t="s">
        <v>318</v>
      </c>
      <c r="R9" s="125" t="s">
        <v>283</v>
      </c>
      <c r="S9" s="125"/>
      <c r="T9" s="125"/>
      <c r="U9" s="125"/>
      <c r="V9" s="125"/>
      <c r="W9" s="125"/>
    </row>
    <row r="10" spans="1:23" ht="20.100000000000001" customHeight="1">
      <c r="E10" t="str" cm="1">
        <f t="array" aca="1" ref="E10" ca="1">MID(CELL("filename",【A】実務経験要件判定シート!$A$1),FIND("]",CELL("filename",【A】実務経験要件判定シート!$A$1))+1,31)</f>
        <v>【A】実務経験要件判定シート</v>
      </c>
      <c r="F10" t="s">
        <v>319</v>
      </c>
      <c r="G10" t="str">
        <f>"（判定Ａ）"&amp;CHAR(10)&amp;"シート【B】実務経験証明書を開いて、必要事項を入力してください。試験の前日までに2年間の管理/指導等実務経験要件を満たしています。⑤・⑥項は無視してください。"</f>
        <v>（判定Ａ）
シート【B】実務経験証明書を開いて、必要事項を入力してください。試験の前日までに2年間の管理/指導等実務経験要件を満たしています。⑤・⑥項は無視してください。</v>
      </c>
      <c r="H10">
        <v>2</v>
      </c>
      <c r="I10" t="str">
        <f>VLOOKUP(判定マスタTB[[#This Row],[色番号]],色マスタTB[],2,0)</f>
        <v>緑色</v>
      </c>
      <c r="N10" s="124" t="s">
        <v>320</v>
      </c>
      <c r="O10" s="124" t="s">
        <v>321</v>
      </c>
      <c r="P10" s="125" t="s">
        <v>322</v>
      </c>
      <c r="Q10" s="125" t="s">
        <v>323</v>
      </c>
      <c r="R10" s="125" t="s">
        <v>324</v>
      </c>
      <c r="S10" s="125" t="s">
        <v>325</v>
      </c>
      <c r="T10" s="125" t="s">
        <v>283</v>
      </c>
      <c r="U10" s="125"/>
      <c r="V10" s="125"/>
      <c r="W10" s="125"/>
    </row>
    <row r="11" spans="1:23" ht="20.100000000000001" customHeight="1">
      <c r="E11" t="str" cm="1">
        <f t="array" aca="1" ref="E11" ca="1">MID(CELL("filename",【A】実務経験要件判定シート!$A$1),FIND("]",CELL("filename",【A】実務経験要件判定シート!$A$1))+1,31)</f>
        <v>【A】実務経験要件判定シート</v>
      </c>
      <c r="F11" t="s">
        <v>319</v>
      </c>
      <c r="G11" t="str">
        <f>"（判定Ｂ）"&amp;CHAR(10)&amp;"試験日から6か月以内に2年の実務経験期間を満たす見込がある場合は、シート【C】誓約書のを開いて必要事項を入力してください。⑤・⑥項は無視してください。"</f>
        <v>（判定Ｂ）
試験日から6か月以内に2年の実務経験期間を満たす見込がある場合は、シート【C】誓約書のを開いて必要事項を入力してください。⑤・⑥項は無視してください。</v>
      </c>
      <c r="H11">
        <v>4</v>
      </c>
      <c r="I11" t="str">
        <f>VLOOKUP(判定マスタTB[[#This Row],[色番号]],色マスタTB[],2,0)</f>
        <v>青色</v>
      </c>
      <c r="N11" s="124" t="s">
        <v>326</v>
      </c>
      <c r="O11" s="124" t="s">
        <v>327</v>
      </c>
      <c r="P11" s="125" t="s">
        <v>283</v>
      </c>
      <c r="Q11" s="125"/>
      <c r="R11" s="125"/>
      <c r="S11" s="125"/>
      <c r="T11" s="125"/>
      <c r="U11" s="125"/>
      <c r="V11" s="125"/>
      <c r="W11" s="125"/>
    </row>
    <row r="12" spans="1:23" ht="20.100000000000001" customHeight="1">
      <c r="E12" t="str" cm="1">
        <f t="array" aca="1" ref="E12" ca="1">MID(CELL("filename",【A】実務経験要件判定シート!$A$1),FIND("]",CELL("filename",【A】実務経験要件判定シート!$A$1))+1,31)</f>
        <v>【A】実務経験要件判定シート</v>
      </c>
      <c r="F12" t="s">
        <v>319</v>
      </c>
      <c r="G12" t="str">
        <f>"（判定Ｃ）"&amp;CHAR(10)&amp;"シート【B】実務経験証明書を開いて、必要事項を入力してください。2年間の管理/指導等実務経験要件を満たしていませんが、⑤の条件ABどちらにも該当するため、実務経験期間に関する経過措置が適応され、経過措置適応後の必要な実務経験期間を満たしています。"</f>
        <v>（判定Ｃ）
シート【B】実務経験証明書を開いて、必要事項を入力してください。2年間の管理/指導等実務経験要件を満たしていませんが、⑤の条件ABどちらにも該当するため、実務経験期間に関する経過措置が適応され、経過措置適応後の必要な実務経験期間を満たしています。</v>
      </c>
      <c r="H12">
        <v>2</v>
      </c>
      <c r="I12" t="str">
        <f>VLOOKUP(判定マスタTB[[#This Row],[色番号]],色マスタTB[],2,0)</f>
        <v>緑色</v>
      </c>
    </row>
    <row r="13" spans="1:23" ht="20.100000000000001" customHeight="1">
      <c r="E13" t="str" cm="1">
        <f t="array" aca="1" ref="E13" ca="1">MID(CELL("filename",【A】実務経験要件判定シート!$A$1),FIND("]",CELL("filename",【A】実務経験要件判定シート!$A$1))+1,31)</f>
        <v>【A】実務経験要件判定シート</v>
      </c>
      <c r="F13" t="s">
        <v>319</v>
      </c>
      <c r="G13" t="str">
        <f>"（判定Ｄ）"&amp;CHAR(10)&amp;"必要な管理/指導等実務経験要件を満たしていません。"</f>
        <v>（判定Ｄ）
必要な管理/指導等実務経験要件を満たしていません。</v>
      </c>
      <c r="H13">
        <v>1</v>
      </c>
      <c r="I13" t="str">
        <f>VLOOKUP(判定マスタTB[[#This Row],[色番号]],色マスタTB[],2,0)</f>
        <v>ピンク</v>
      </c>
      <c r="N13" s="124" t="s">
        <v>328</v>
      </c>
      <c r="P13" s="123"/>
      <c r="Q13" s="123"/>
      <c r="R13" s="123"/>
      <c r="S13" s="123"/>
      <c r="T13" s="123"/>
      <c r="U13" s="123"/>
      <c r="V13" s="123"/>
      <c r="W13" s="123"/>
    </row>
    <row r="14" spans="1:23" ht="20.100000000000001" customHeight="1">
      <c r="E14" t="str" cm="1">
        <f t="array" aca="1" ref="E14" ca="1">MID(CELL("filename",【A】実務経験要件判定シート!$A$1),FIND("]",CELL("filename",【A】実務経験要件判定シート!$A$1))+1,31)</f>
        <v>【A】実務経験要件判定シート</v>
      </c>
      <c r="F14" t="s">
        <v>152</v>
      </c>
      <c r="G14" t="s">
        <v>329</v>
      </c>
      <c r="H14">
        <v>2</v>
      </c>
      <c r="I14" t="str">
        <f>VLOOKUP(判定マスタTB[[#This Row],[色番号]],色マスタTB[],2,0)</f>
        <v>緑色</v>
      </c>
      <c r="N14" s="124" t="s">
        <v>330</v>
      </c>
      <c r="O14" s="124" t="s">
        <v>331</v>
      </c>
      <c r="P14" s="125" t="s">
        <v>332</v>
      </c>
      <c r="Q14" s="125" t="s">
        <v>333</v>
      </c>
      <c r="R14" s="125" t="s">
        <v>334</v>
      </c>
      <c r="S14" s="125" t="s">
        <v>335</v>
      </c>
      <c r="T14" s="125" t="s">
        <v>336</v>
      </c>
      <c r="U14" s="125" t="s">
        <v>283</v>
      </c>
      <c r="V14" s="123"/>
      <c r="W14" s="123"/>
    </row>
    <row r="15" spans="1:23" ht="20.100000000000001" customHeight="1">
      <c r="E15" t="str" cm="1">
        <f t="array" aca="1" ref="E15" ca="1">MID(CELL("filename",【A】実務経験要件判定シート!$A$1),FIND("]",CELL("filename",【A】実務経験要件判定シート!$A$1))+1,31)</f>
        <v>【A】実務経験要件判定シート</v>
      </c>
      <c r="F15" t="s">
        <v>152</v>
      </c>
      <c r="G15" t="str">
        <f>"試験日から６ヵ月以内に実務経験が完了する場合、受験申請できます。シートCを作成して下さい。"&amp;CHAR(10)&amp;"但し、在留資格が受験分野の特定技能１号の人は下記の経過措置が受けられる場合がありますので⑤を確認して下さい。"</f>
        <v>試験日から６ヵ月以内に実務経験が完了する場合、受験申請できます。シートCを作成して下さい。
但し、在留資格が受験分野の特定技能１号の人は下記の経過措置が受けられる場合がありますので⑤を確認して下さい。</v>
      </c>
      <c r="H15">
        <v>5</v>
      </c>
      <c r="I15" t="str">
        <f>VLOOKUP(判定マスタTB[[#This Row],[色番号]],色マスタTB[],2,0)</f>
        <v>黄色</v>
      </c>
      <c r="N15" s="124" t="s">
        <v>337</v>
      </c>
      <c r="O15" s="124" t="s">
        <v>338</v>
      </c>
      <c r="P15" s="125" t="s">
        <v>339</v>
      </c>
      <c r="Q15" s="125" t="s">
        <v>340</v>
      </c>
      <c r="R15" s="125" t="s">
        <v>341</v>
      </c>
      <c r="S15" s="125" t="s">
        <v>283</v>
      </c>
      <c r="T15" s="125"/>
      <c r="U15" s="125"/>
      <c r="V15" s="123"/>
      <c r="W15" s="123"/>
    </row>
    <row r="16" spans="1:23" ht="20.100000000000001" customHeight="1">
      <c r="E16" t="str" cm="1">
        <f t="array" aca="1" ref="E16" ca="1">MID(CELL("filename",【A】実務経験要件判定シート!$A$1),FIND("]",CELL("filename",【A】実務経験要件判定シート!$A$1))+1,31)</f>
        <v>【A】実務経験要件判定シート</v>
      </c>
      <c r="F16" t="s">
        <v>152</v>
      </c>
      <c r="G16" t="s">
        <v>342</v>
      </c>
      <c r="H16">
        <v>6</v>
      </c>
      <c r="I16" t="str">
        <f>VLOOKUP(判定マスタTB[[#This Row],[色番号]],色マスタTB[],2,0)</f>
        <v>紫色</v>
      </c>
      <c r="N16" s="124" t="s">
        <v>343</v>
      </c>
      <c r="O16" s="124" t="s">
        <v>344</v>
      </c>
      <c r="P16" s="125" t="s">
        <v>345</v>
      </c>
      <c r="Q16" s="125" t="s">
        <v>346</v>
      </c>
      <c r="R16" s="125" t="s">
        <v>283</v>
      </c>
      <c r="S16" s="125"/>
      <c r="T16" s="125"/>
      <c r="U16" s="125"/>
      <c r="V16" s="123"/>
      <c r="W16" s="123"/>
    </row>
    <row r="17" spans="5:23" ht="20.100000000000001" customHeight="1">
      <c r="E17" t="str" cm="1">
        <f t="array" aca="1" ref="E17" ca="1">MID(CELL("filename",【A】実務経験要件判定シート!$A$1),FIND("]",CELL("filename",【A】実務経験要件判定シート!$A$1))+1,31)</f>
        <v>【A】実務経験要件判定シート</v>
      </c>
      <c r="F17" t="s">
        <v>259</v>
      </c>
      <c r="G17" t="s">
        <v>347</v>
      </c>
      <c r="H17">
        <v>2</v>
      </c>
      <c r="I17" t="str">
        <f>VLOOKUP(判定マスタTB[[#This Row],[色番号]],色マスタTB[],2,0)</f>
        <v>緑色</v>
      </c>
      <c r="N17" s="124" t="s">
        <v>348</v>
      </c>
      <c r="O17" s="124" t="s">
        <v>349</v>
      </c>
      <c r="P17" s="125" t="s">
        <v>283</v>
      </c>
      <c r="Q17" s="125"/>
      <c r="R17" s="125"/>
      <c r="S17" s="125"/>
      <c r="T17" s="125"/>
      <c r="U17" s="125"/>
      <c r="V17" s="123"/>
      <c r="W17" s="123"/>
    </row>
    <row r="18" spans="5:23" ht="20.100000000000001" customHeight="1">
      <c r="E18" t="str" cm="1">
        <f t="array" aca="1" ref="E18" ca="1">MID(CELL("filename",【A】実務経験要件判定シート!$A$1),FIND("]",CELL("filename",【A】実務経験要件判定シート!$A$1))+1,31)</f>
        <v>【A】実務経験要件判定シート</v>
      </c>
      <c r="F18" t="s">
        <v>259</v>
      </c>
      <c r="G18" t="s">
        <v>350</v>
      </c>
      <c r="H18">
        <v>6</v>
      </c>
      <c r="I18" t="str">
        <f>VLOOKUP(判定マスタTB[[#This Row],[色番号]],色マスタTB[],2,0)</f>
        <v>紫色</v>
      </c>
    </row>
    <row r="19" spans="5:23" ht="20.100000000000001" customHeight="1">
      <c r="E19" t="str" cm="1">
        <f t="array" aca="1" ref="E19" ca="1">MID(CELL("filename",【A】実務経験要件判定シート!$A$1),FIND("]",CELL("filename",【A】実務経験要件判定シート!$A$1))+1,31)</f>
        <v>【A】実務経験要件判定シート</v>
      </c>
      <c r="F19" t="s">
        <v>261</v>
      </c>
      <c r="G19" t="s">
        <v>351</v>
      </c>
      <c r="H19">
        <v>2</v>
      </c>
      <c r="I19" t="str">
        <f>VLOOKUP(判定マスタTB[[#This Row],[色番号]],色マスタTB[],2,0)</f>
        <v>緑色</v>
      </c>
      <c r="N19" s="124" t="s">
        <v>352</v>
      </c>
      <c r="P19" s="123"/>
      <c r="Q19" s="123"/>
      <c r="R19" s="123"/>
      <c r="S19" s="123"/>
      <c r="T19" s="123"/>
      <c r="U19" s="123"/>
      <c r="V19" s="123"/>
      <c r="W19" s="123"/>
    </row>
    <row r="20" spans="5:23" ht="20.100000000000001" customHeight="1">
      <c r="E20" t="str" cm="1">
        <f t="array" aca="1" ref="E20" ca="1">MID(CELL("filename",【A】実務経験要件判定シート!$A$1),FIND("]",CELL("filename",【A】実務経験要件判定シート!$A$1))+1,31)</f>
        <v>【A】実務経験要件判定シート</v>
      </c>
      <c r="F20" t="s">
        <v>261</v>
      </c>
      <c r="G20" t="s">
        <v>353</v>
      </c>
      <c r="H20">
        <v>5</v>
      </c>
      <c r="I20" t="str">
        <f>VLOOKUP(判定マスタTB[[#This Row],[色番号]],色マスタTB[],2,0)</f>
        <v>黄色</v>
      </c>
      <c r="N20" s="124" t="s">
        <v>354</v>
      </c>
      <c r="O20" s="124" t="s">
        <v>355</v>
      </c>
      <c r="P20" s="125" t="s">
        <v>317</v>
      </c>
      <c r="Q20" s="125" t="s">
        <v>356</v>
      </c>
      <c r="R20" s="125" t="s">
        <v>357</v>
      </c>
      <c r="S20" s="125" t="s">
        <v>358</v>
      </c>
      <c r="T20" s="125" t="s">
        <v>359</v>
      </c>
      <c r="U20" s="125" t="s">
        <v>360</v>
      </c>
      <c r="V20" s="125" t="s">
        <v>283</v>
      </c>
      <c r="W20" s="123"/>
    </row>
    <row r="21" spans="5:23" ht="20.100000000000001" customHeight="1">
      <c r="E21" t="str" cm="1">
        <f t="array" aca="1" ref="E21" ca="1">MID(CELL("filename",【A】実務経験要件判定シート!$A$1),FIND("]",CELL("filename",【A】実務経験要件判定シート!$A$1))+1,31)</f>
        <v>【A】実務経験要件判定シート</v>
      </c>
      <c r="F21" t="s">
        <v>261</v>
      </c>
      <c r="G21" t="s">
        <v>361</v>
      </c>
      <c r="H21">
        <v>6</v>
      </c>
      <c r="I21" t="str">
        <f>VLOOKUP(判定マスタTB[[#This Row],[色番号]],色マスタTB[],2,0)</f>
        <v>紫色</v>
      </c>
      <c r="N21" s="124" t="s">
        <v>362</v>
      </c>
      <c r="O21" s="124" t="s">
        <v>363</v>
      </c>
      <c r="P21" s="125" t="s">
        <v>364</v>
      </c>
      <c r="Q21" s="125" t="s">
        <v>365</v>
      </c>
      <c r="R21" s="125" t="s">
        <v>366</v>
      </c>
      <c r="S21" s="125" t="s">
        <v>283</v>
      </c>
      <c r="T21" s="125"/>
      <c r="U21" s="125"/>
      <c r="V21" s="125"/>
      <c r="W21" s="123"/>
    </row>
    <row r="22" spans="5:23" ht="20.100000000000001" customHeight="1">
      <c r="E22" t="str" cm="1">
        <f t="array" aca="1" ref="E22" ca="1">MID(CELL("filename",【A】実務経験要件判定シート!$A$1),FIND("]",CELL("filename",【A】実務経験要件判定シート!$A$1))+1,31)</f>
        <v>【A】実務経験要件判定シート</v>
      </c>
      <c r="F22" t="s">
        <v>302</v>
      </c>
      <c r="G22" t="s">
        <v>361</v>
      </c>
      <c r="H22">
        <v>6</v>
      </c>
      <c r="I22" t="str">
        <f>VLOOKUP(判定マスタTB[[#This Row],[色番号]],色マスタTB[],2,0)</f>
        <v>紫色</v>
      </c>
      <c r="N22" s="124" t="s">
        <v>367</v>
      </c>
      <c r="O22" s="124" t="s">
        <v>368</v>
      </c>
      <c r="P22" s="125" t="s">
        <v>369</v>
      </c>
      <c r="Q22" s="125" t="s">
        <v>370</v>
      </c>
      <c r="R22" s="125" t="s">
        <v>283</v>
      </c>
      <c r="S22" s="125"/>
      <c r="T22" s="125"/>
      <c r="U22" s="125"/>
      <c r="V22" s="125"/>
      <c r="W22" s="123"/>
    </row>
    <row r="23" spans="5:23" ht="20.100000000000001" customHeight="1">
      <c r="E23" t="str" cm="1">
        <f t="array" aca="1" ref="E23" ca="1">MID(CELL("filename",【A】実務経験要件判定シート!$A$1),FIND("]",CELL("filename",【A】実務経験要件判定シート!$A$1))+1,31)</f>
        <v>【A】実務経験要件判定シート</v>
      </c>
      <c r="F23" t="s">
        <v>302</v>
      </c>
      <c r="G23" t="s">
        <v>371</v>
      </c>
      <c r="H23">
        <v>5</v>
      </c>
      <c r="I23" t="str">
        <f>VLOOKUP(判定マスタTB[[#This Row],[色番号]],色マスタTB[],2,0)</f>
        <v>黄色</v>
      </c>
      <c r="N23" s="124" t="s">
        <v>372</v>
      </c>
      <c r="O23" s="124" t="s">
        <v>373</v>
      </c>
      <c r="P23" s="125" t="s">
        <v>374</v>
      </c>
      <c r="Q23" s="125" t="s">
        <v>375</v>
      </c>
      <c r="R23" s="125" t="s">
        <v>376</v>
      </c>
      <c r="S23" s="125" t="s">
        <v>283</v>
      </c>
      <c r="T23" s="125"/>
      <c r="U23" s="125"/>
      <c r="V23" s="125"/>
      <c r="W23" s="123"/>
    </row>
    <row r="24" spans="5:23" ht="20.100000000000001" customHeight="1">
      <c r="E24" t="str" cm="1">
        <f t="array" aca="1" ref="E24" ca="1">MID(CELL("filename",【A】実務経験要件判定シート!$A$1),FIND("]",CELL("filename",【A】実務経験要件判定シート!$A$1))+1,31)</f>
        <v>【A】実務経験要件判定シート</v>
      </c>
      <c r="F24" t="s">
        <v>302</v>
      </c>
      <c r="G24" t="s">
        <v>377</v>
      </c>
      <c r="H24">
        <v>2</v>
      </c>
      <c r="I24" t="str">
        <f>VLOOKUP(判定マスタTB[[#This Row],[色番号]],色マスタTB[],2,0)</f>
        <v>緑色</v>
      </c>
    </row>
    <row r="25" spans="5:23" ht="20.100000000000001" customHeight="1">
      <c r="N25" s="124" t="s">
        <v>378</v>
      </c>
      <c r="P25" s="123"/>
      <c r="Q25" s="123"/>
      <c r="R25" s="123"/>
      <c r="S25" s="123"/>
      <c r="T25" s="123"/>
      <c r="U25" s="123"/>
      <c r="V25" s="123"/>
      <c r="W25" s="123"/>
    </row>
    <row r="26" spans="5:23" ht="20.100000000000001" customHeight="1">
      <c r="N26" s="124" t="s">
        <v>337</v>
      </c>
      <c r="O26" s="124" t="s">
        <v>379</v>
      </c>
      <c r="P26" s="125" t="s">
        <v>380</v>
      </c>
      <c r="Q26" s="125" t="s">
        <v>381</v>
      </c>
      <c r="R26" s="125" t="s">
        <v>382</v>
      </c>
      <c r="S26" s="125" t="s">
        <v>283</v>
      </c>
      <c r="T26" s="125"/>
      <c r="U26" s="123"/>
      <c r="V26" s="123"/>
      <c r="W26" s="123"/>
    </row>
    <row r="27" spans="5:23" ht="20.100000000000001" customHeight="1">
      <c r="N27" s="124" t="s">
        <v>383</v>
      </c>
      <c r="O27" s="124" t="s">
        <v>384</v>
      </c>
      <c r="P27" s="125" t="s">
        <v>385</v>
      </c>
      <c r="Q27" s="125" t="s">
        <v>386</v>
      </c>
      <c r="R27" s="125" t="s">
        <v>283</v>
      </c>
      <c r="S27" s="125"/>
      <c r="T27" s="125"/>
      <c r="U27" s="123"/>
      <c r="V27" s="123"/>
      <c r="W27" s="123"/>
    </row>
    <row r="28" spans="5:23" ht="20.100000000000001" customHeight="1">
      <c r="N28" s="124" t="s">
        <v>387</v>
      </c>
      <c r="O28" s="124" t="s">
        <v>388</v>
      </c>
      <c r="P28" s="125" t="s">
        <v>389</v>
      </c>
      <c r="Q28" s="125" t="s">
        <v>390</v>
      </c>
      <c r="R28" s="125" t="s">
        <v>283</v>
      </c>
      <c r="S28" s="125"/>
      <c r="T28" s="125"/>
      <c r="U28" s="123"/>
      <c r="V28" s="123"/>
      <c r="W28" s="123"/>
    </row>
    <row r="29" spans="5:23" ht="20.100000000000001" customHeight="1">
      <c r="N29" s="124" t="s">
        <v>391</v>
      </c>
      <c r="O29" s="124" t="s">
        <v>392</v>
      </c>
      <c r="P29" s="125" t="s">
        <v>393</v>
      </c>
      <c r="Q29" s="125" t="s">
        <v>394</v>
      </c>
      <c r="R29" s="125" t="s">
        <v>395</v>
      </c>
      <c r="S29" s="125" t="s">
        <v>396</v>
      </c>
      <c r="T29" s="125" t="s">
        <v>283</v>
      </c>
      <c r="U29" s="123"/>
      <c r="V29" s="123"/>
      <c r="W29" s="123"/>
    </row>
    <row r="30" spans="5:23" ht="20.100000000000001" customHeight="1">
      <c r="N30" s="124" t="s">
        <v>348</v>
      </c>
      <c r="O30" s="124" t="s">
        <v>397</v>
      </c>
      <c r="P30" s="125" t="s">
        <v>283</v>
      </c>
      <c r="Q30" s="125"/>
      <c r="R30" s="125"/>
      <c r="S30" s="125"/>
      <c r="T30" s="125"/>
      <c r="U30" s="123"/>
      <c r="V30" s="123"/>
      <c r="W30" s="123"/>
    </row>
  </sheetData>
  <phoneticPr fontId="1"/>
  <pageMargins left="0.7" right="0.7" top="0.75" bottom="0.75" header="0.3" footer="0.3"/>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078E-26A0-498A-8182-FEE2173CE45B}">
  <sheetPr codeName="Sheet7"/>
  <dimension ref="B1:AB46"/>
  <sheetViews>
    <sheetView zoomScaleNormal="100" workbookViewId="0"/>
  </sheetViews>
  <sheetFormatPr defaultColWidth="12.625" defaultRowHeight="20.100000000000001" customHeight="1"/>
  <cols>
    <col min="1" max="5" width="12.625" style="95"/>
    <col min="6" max="7" width="15.625" style="95" customWidth="1"/>
    <col min="8" max="8" width="12.625" style="95"/>
    <col min="9" max="9" width="5.625" style="107" customWidth="1"/>
    <col min="10" max="10" width="12.625" style="95"/>
    <col min="11" max="11" width="5.625" style="107" customWidth="1"/>
    <col min="12" max="12" width="12.625" style="95"/>
    <col min="13" max="13" width="5.625" style="107" customWidth="1"/>
    <col min="14" max="14" width="12.625" style="95"/>
    <col min="15" max="15" width="16.625" style="95" customWidth="1"/>
    <col min="16" max="16" width="5.625" style="95" customWidth="1"/>
    <col min="17" max="18" width="12.625" style="95"/>
    <col min="19" max="19" width="5.625" style="95" customWidth="1"/>
    <col min="20" max="20" width="12.625" style="95"/>
    <col min="21" max="21" width="5.625" style="95" customWidth="1"/>
    <col min="22" max="22" width="12.625" style="95"/>
    <col min="23" max="24" width="5.625" style="95" customWidth="1"/>
    <col min="25" max="25" width="12.625" style="95" customWidth="1"/>
    <col min="26" max="26" width="5.625" style="95" customWidth="1"/>
    <col min="27" max="27" width="16.625" style="95" customWidth="1"/>
    <col min="28" max="28" width="20.625" style="95" customWidth="1"/>
    <col min="29" max="16384" width="12.625" style="95"/>
  </cols>
  <sheetData>
    <row r="1" spans="2:15" ht="20.100000000000001" customHeight="1">
      <c r="I1" s="95"/>
      <c r="K1" s="95"/>
      <c r="M1" s="95"/>
    </row>
    <row r="2" spans="2:15" ht="20.100000000000001" customHeight="1">
      <c r="B2" s="95" t="s">
        <v>398</v>
      </c>
      <c r="I2" s="95"/>
      <c r="K2" s="95"/>
      <c r="M2" s="95"/>
    </row>
    <row r="3" spans="2:15" ht="20.100000000000001" customHeight="1">
      <c r="B3" s="112" t="s">
        <v>399</v>
      </c>
      <c r="C3" s="113" t="s">
        <v>400</v>
      </c>
      <c r="D3" s="113" t="s">
        <v>401</v>
      </c>
      <c r="E3" s="114" t="s">
        <v>402</v>
      </c>
      <c r="F3" s="307" t="s">
        <v>403</v>
      </c>
      <c r="G3" s="308"/>
      <c r="H3" s="103" t="s">
        <v>404</v>
      </c>
      <c r="J3" s="103" t="s">
        <v>405</v>
      </c>
      <c r="L3" s="103" t="s">
        <v>406</v>
      </c>
    </row>
    <row r="4" spans="2:15" ht="20.100000000000001" customHeight="1">
      <c r="B4" s="97" t="s">
        <v>407</v>
      </c>
      <c r="C4" s="98" t="str">
        <f>IF(【A】実務経験要件判定シート!企業A▼開始日="","",【A】実務経験要件判定シート!企業A▼開始日)</f>
        <v/>
      </c>
      <c r="D4" s="98" t="str">
        <f>IF(【A】実務経験要件判定シート!企業A▼終了日="","",【A】実務経験要件判定シート!企業A▼終了日)</f>
        <v/>
      </c>
      <c r="E4" s="115" t="str">
        <f>IF(OR(C4="",D4=""),"",DATEDIF(C4,D4+1,"D"))</f>
        <v/>
      </c>
      <c r="F4" s="307"/>
      <c r="G4" s="308"/>
      <c r="H4" s="104">
        <f>IF(OR($C4="",$D4=""),0,DATEDIF($C4,$D4+1,"Y"))</f>
        <v>0</v>
      </c>
      <c r="I4" s="107" t="s">
        <v>408</v>
      </c>
      <c r="J4" s="104">
        <f>IF(OR($C4="",$D4=""),0,DATEDIF($C4,$D4+1,"YM"))</f>
        <v>0</v>
      </c>
      <c r="K4" s="107" t="s">
        <v>409</v>
      </c>
      <c r="L4" s="104">
        <f>IF(OR($C4="",$D4=""),0,DATEDIF($C4,$D4+1,"MD"))</f>
        <v>0</v>
      </c>
      <c r="M4" s="107" t="s">
        <v>410</v>
      </c>
    </row>
    <row r="5" spans="2:15" ht="20.100000000000001" customHeight="1">
      <c r="B5" s="99" t="s">
        <v>411</v>
      </c>
      <c r="C5" s="100" t="str">
        <f>IF(【A】実務経験要件判定シート!企業B▼開始日="","",【A】実務経験要件判定シート!企業B▼開始日)</f>
        <v/>
      </c>
      <c r="D5" s="100" t="str">
        <f>IF(【A】実務経験要件判定シート!企業B▼終了日="","",【A】実務経験要件判定シート!企業B▼終了日)</f>
        <v/>
      </c>
      <c r="E5" s="116" t="str">
        <f>IF(OR(C5="",D5=""),"",DATEDIF(C5,D5+1,"D"))</f>
        <v/>
      </c>
      <c r="F5" s="307"/>
      <c r="G5" s="308"/>
      <c r="H5" s="105">
        <f>IF(OR($C5="",$D5=""),0,DATEDIF($C5,$D5+1,"Y"))</f>
        <v>0</v>
      </c>
      <c r="I5" s="107" t="s">
        <v>408</v>
      </c>
      <c r="J5" s="105">
        <f>IF(OR($C5="",$D5=""),0,DATEDIF($C5,$D5+1,"YM"))</f>
        <v>0</v>
      </c>
      <c r="K5" s="107" t="s">
        <v>409</v>
      </c>
      <c r="L5" s="105">
        <f>IF(OR($C5="",$D5=""),0,DATEDIF($C5,$D5+1,"MD"))</f>
        <v>0</v>
      </c>
      <c r="M5" s="107" t="s">
        <v>410</v>
      </c>
    </row>
    <row r="6" spans="2:15" ht="20.100000000000001" customHeight="1" thickBot="1">
      <c r="B6" s="101" t="s">
        <v>412</v>
      </c>
      <c r="C6" s="102" t="str">
        <f>IF(【A】実務経験要件判定シート!企業C▼開始日="","",【A】実務経験要件判定シート!企業C▼開始日)</f>
        <v/>
      </c>
      <c r="D6" s="102" t="str" cm="1">
        <f t="array" ref="D6">IF(【A】実務経験要件判定シート!企業C▼終了日="","",【A】実務経験要件判定シート!企業C▼終了日)</f>
        <v/>
      </c>
      <c r="E6" s="117" t="str">
        <f>IF(OR(C6="",D6=""),"",DATEDIF(C6,D6+1,"D"))</f>
        <v/>
      </c>
      <c r="F6" s="307"/>
      <c r="G6" s="308"/>
      <c r="H6" s="106">
        <f>IF(OR($C6="",$D6=""),0,DATEDIF($C6,$D6+1,"Y"))</f>
        <v>0</v>
      </c>
      <c r="I6" s="107" t="s">
        <v>408</v>
      </c>
      <c r="J6" s="106">
        <f>IF(OR($C6="",$D6=""),0,DATEDIF($C6,$D6+1,"YM"))</f>
        <v>0</v>
      </c>
      <c r="K6" s="107" t="s">
        <v>409</v>
      </c>
      <c r="L6" s="106">
        <f>IF(OR($C6="",$D6=""),0,DATEDIF($C6,$D6+1,"MD"))</f>
        <v>0</v>
      </c>
      <c r="M6" s="107" t="s">
        <v>410</v>
      </c>
    </row>
    <row r="7" spans="2:15" ht="20.100000000000001" customHeight="1" thickTop="1">
      <c r="E7" s="130">
        <f>SUM(E4:E6)</f>
        <v>0</v>
      </c>
      <c r="G7" s="107" t="s">
        <v>413</v>
      </c>
      <c r="H7" s="95">
        <f>SUM(H4:H6)</f>
        <v>0</v>
      </c>
      <c r="I7" s="107" t="s">
        <v>408</v>
      </c>
      <c r="J7" s="95">
        <f>INT((J4+J5+J6+L7)/12)</f>
        <v>0</v>
      </c>
      <c r="K7" s="107" t="s">
        <v>408</v>
      </c>
      <c r="L7" s="95">
        <f>INT(SUM(L4:L6)/30)</f>
        <v>0</v>
      </c>
      <c r="M7" s="107" t="s">
        <v>414</v>
      </c>
    </row>
    <row r="8" spans="2:15" ht="20.100000000000001" customHeight="1">
      <c r="G8" s="107" t="s">
        <v>413</v>
      </c>
      <c r="H8" s="95">
        <f>H7+J7</f>
        <v>0</v>
      </c>
      <c r="I8" s="107" t="s">
        <v>408</v>
      </c>
      <c r="J8" s="95">
        <f>MOD((J4+J5+J6+L7),12)</f>
        <v>0</v>
      </c>
      <c r="K8" s="107" t="s">
        <v>415</v>
      </c>
      <c r="L8" s="95">
        <f>MOD(SUM(L4:L6),30)</f>
        <v>0</v>
      </c>
      <c r="M8" s="107" t="s">
        <v>410</v>
      </c>
      <c r="N8" s="107" t="s">
        <v>403</v>
      </c>
      <c r="O8" s="107" t="str">
        <f>H8&amp;I8&amp;J8&amp;K8&amp;L8&amp;M8</f>
        <v>0年0ヶ月0日</v>
      </c>
    </row>
    <row r="9" spans="2:15" ht="20.100000000000001" customHeight="1">
      <c r="C9" s="96"/>
      <c r="D9" s="96"/>
      <c r="E9" s="96"/>
      <c r="G9" s="107" t="s">
        <v>416</v>
      </c>
      <c r="H9" s="95">
        <v>365</v>
      </c>
      <c r="I9" s="107" t="s">
        <v>410</v>
      </c>
      <c r="J9" s="95">
        <v>30</v>
      </c>
      <c r="K9" s="107" t="s">
        <v>410</v>
      </c>
      <c r="L9" s="95">
        <v>1</v>
      </c>
      <c r="M9" s="107" t="s">
        <v>410</v>
      </c>
    </row>
    <row r="10" spans="2:15" ht="20.100000000000001" customHeight="1">
      <c r="H10" s="95">
        <f>H8*H9</f>
        <v>0</v>
      </c>
      <c r="I10" s="107" t="s">
        <v>417</v>
      </c>
      <c r="J10" s="95">
        <f>J8*J9</f>
        <v>0</v>
      </c>
      <c r="K10" s="107" t="s">
        <v>417</v>
      </c>
      <c r="L10" s="95">
        <f>L8*L9</f>
        <v>0</v>
      </c>
      <c r="M10" s="107" t="s">
        <v>417</v>
      </c>
    </row>
    <row r="11" spans="2:15" ht="20.100000000000001" customHeight="1">
      <c r="G11" s="108" t="s">
        <v>403</v>
      </c>
      <c r="L11" s="131">
        <f>H10+J10+L10</f>
        <v>0</v>
      </c>
      <c r="M11" s="107" t="s">
        <v>417</v>
      </c>
      <c r="N11" s="107"/>
    </row>
    <row r="12" spans="2:15" ht="20.100000000000001" customHeight="1">
      <c r="I12" s="95"/>
      <c r="K12" s="95"/>
      <c r="L12" s="107" t="s">
        <v>418</v>
      </c>
      <c r="M12" s="95" t="s">
        <v>419</v>
      </c>
    </row>
    <row r="13" spans="2:15" ht="20.100000000000001" customHeight="1">
      <c r="I13" s="95"/>
      <c r="K13" s="95"/>
      <c r="L13" s="131">
        <f>実務経験日数▼補正後+185</f>
        <v>185</v>
      </c>
      <c r="M13" s="95"/>
    </row>
    <row r="14" spans="2:15" ht="20.100000000000001" customHeight="1">
      <c r="I14" s="95"/>
      <c r="K14" s="95"/>
      <c r="M14" s="95"/>
    </row>
    <row r="15" spans="2:15" ht="20.100000000000001" customHeight="1">
      <c r="C15" s="95" t="s">
        <v>420</v>
      </c>
      <c r="I15" s="95"/>
      <c r="K15" s="95"/>
      <c r="M15" s="95"/>
    </row>
    <row r="16" spans="2:15" ht="20.100000000000001" customHeight="1">
      <c r="C16" s="112" t="s">
        <v>400</v>
      </c>
      <c r="D16" s="113" t="s">
        <v>401</v>
      </c>
      <c r="E16" s="114" t="s">
        <v>402</v>
      </c>
      <c r="F16" s="307" t="s">
        <v>403</v>
      </c>
      <c r="G16" s="308"/>
      <c r="H16" s="103" t="s">
        <v>404</v>
      </c>
      <c r="J16" s="103" t="s">
        <v>405</v>
      </c>
      <c r="L16" s="103" t="s">
        <v>406</v>
      </c>
    </row>
    <row r="17" spans="3:15" ht="20.100000000000001" customHeight="1">
      <c r="C17" s="135" t="str">
        <f>IF(【A】実務経験要件判定シート!許可を受けた日="","",【A】実務経験要件判定シート!許可を受けた日)</f>
        <v/>
      </c>
      <c r="D17" s="98" t="str">
        <f>IF(C17="","",【A】実務経験要件判定シート!O19)</f>
        <v/>
      </c>
      <c r="E17" s="115" t="str">
        <f>IF(OR(C17="",D17=""),"",DATEDIF(C17,D17+1,"D"))</f>
        <v/>
      </c>
      <c r="F17" s="307"/>
      <c r="G17" s="308"/>
      <c r="H17" s="104">
        <f>IF(OR($C17="",$D17=""),0,DATEDIF($C17,$D17+1,"Y"))</f>
        <v>0</v>
      </c>
      <c r="I17" s="107" t="s">
        <v>408</v>
      </c>
      <c r="J17" s="104">
        <f>IF(OR($C17="",$D17=""),0,DATEDIF($C17,$D17+1,"YM"))</f>
        <v>0</v>
      </c>
      <c r="K17" s="107" t="s">
        <v>409</v>
      </c>
      <c r="L17" s="104">
        <f>IF(OR($C17="",$D17=""),0,DATEDIF($C17,$D17+1,"MD"))</f>
        <v>0</v>
      </c>
      <c r="M17" s="107" t="s">
        <v>410</v>
      </c>
    </row>
    <row r="18" spans="3:15" ht="20.100000000000001" customHeight="1">
      <c r="C18" s="136"/>
      <c r="D18" s="100"/>
      <c r="E18" s="116" t="str">
        <f>IF(OR(C18="",D18=""),"",DATEDIF(C18,D18+1,"D"))</f>
        <v/>
      </c>
      <c r="F18" s="307"/>
      <c r="G18" s="308"/>
      <c r="H18" s="105">
        <f>IF(OR($C18="",$D18=""),0,DATEDIF($C18,$D18+1,"Y"))</f>
        <v>0</v>
      </c>
      <c r="I18" s="107" t="s">
        <v>408</v>
      </c>
      <c r="J18" s="105">
        <f>IF(OR($C18="",$D18=""),0,DATEDIF($C18,$D18+1,"YM"))</f>
        <v>0</v>
      </c>
      <c r="K18" s="107" t="s">
        <v>409</v>
      </c>
      <c r="L18" s="105">
        <f>IF(OR($C18="",$D18=""),0,DATEDIF($C18,$D18+1,"MD"))</f>
        <v>0</v>
      </c>
      <c r="M18" s="107" t="s">
        <v>410</v>
      </c>
    </row>
    <row r="19" spans="3:15" ht="20.100000000000001" customHeight="1">
      <c r="C19" s="137"/>
      <c r="D19" s="102"/>
      <c r="E19" s="138" t="str">
        <f>IF(OR(C19="",D19=""),"",DATEDIF(C19,D19+1,"D"))</f>
        <v/>
      </c>
      <c r="F19" s="307"/>
      <c r="G19" s="308"/>
      <c r="H19" s="106">
        <f>IF(OR($C19="",$D19=""),0,DATEDIF($C19,$D19+1,"Y"))</f>
        <v>0</v>
      </c>
      <c r="I19" s="107" t="s">
        <v>408</v>
      </c>
      <c r="J19" s="106">
        <f>IF(OR($C19="",$D19=""),0,DATEDIF($C19,$D19+1,"YM"))</f>
        <v>0</v>
      </c>
      <c r="K19" s="107" t="s">
        <v>409</v>
      </c>
      <c r="L19" s="106">
        <f>IF(OR($C19="",$D19=""),0,DATEDIF($C19,$D19+1,"MD"))</f>
        <v>0</v>
      </c>
      <c r="M19" s="107" t="s">
        <v>410</v>
      </c>
    </row>
    <row r="20" spans="3:15" ht="20.100000000000001" customHeight="1">
      <c r="E20" s="134">
        <f>SUM(E17:E19)</f>
        <v>0</v>
      </c>
      <c r="G20" s="107" t="s">
        <v>413</v>
      </c>
      <c r="H20" s="95">
        <f>SUM(H17:H19)</f>
        <v>0</v>
      </c>
      <c r="I20" s="107" t="s">
        <v>408</v>
      </c>
      <c r="J20" s="95">
        <f>INT((J17+J18+J19+L20)/12)</f>
        <v>0</v>
      </c>
      <c r="K20" s="107" t="s">
        <v>408</v>
      </c>
      <c r="L20" s="95">
        <f>INT(SUM(L17:L19)/30)</f>
        <v>0</v>
      </c>
      <c r="M20" s="107" t="s">
        <v>414</v>
      </c>
    </row>
    <row r="21" spans="3:15" ht="20.100000000000001" customHeight="1">
      <c r="G21" s="107" t="s">
        <v>413</v>
      </c>
      <c r="H21" s="95">
        <f>H20+J20</f>
        <v>0</v>
      </c>
      <c r="I21" s="107" t="s">
        <v>408</v>
      </c>
      <c r="J21" s="95">
        <f>MOD((J17+J18+J19+L20),12)</f>
        <v>0</v>
      </c>
      <c r="K21" s="107" t="s">
        <v>415</v>
      </c>
      <c r="L21" s="95">
        <f>MOD(SUM(L17:L19),30)</f>
        <v>0</v>
      </c>
      <c r="M21" s="107" t="s">
        <v>410</v>
      </c>
      <c r="N21" s="107" t="s">
        <v>403</v>
      </c>
      <c r="O21" s="107" t="str">
        <f>H21&amp;I21&amp;J21&amp;K21&amp;L21&amp;M21</f>
        <v>0年0ヶ月0日</v>
      </c>
    </row>
    <row r="22" spans="3:15" ht="20.100000000000001" customHeight="1">
      <c r="C22" s="96"/>
      <c r="D22" s="96"/>
      <c r="E22" s="96"/>
      <c r="G22" s="107" t="s">
        <v>416</v>
      </c>
      <c r="H22" s="95">
        <f>$H$9</f>
        <v>365</v>
      </c>
      <c r="I22" s="107" t="s">
        <v>410</v>
      </c>
      <c r="J22" s="95">
        <f>$J$9</f>
        <v>30</v>
      </c>
      <c r="K22" s="107" t="s">
        <v>410</v>
      </c>
      <c r="L22" s="95">
        <f>$L$9</f>
        <v>1</v>
      </c>
      <c r="M22" s="107" t="s">
        <v>410</v>
      </c>
    </row>
    <row r="23" spans="3:15" ht="20.100000000000001" customHeight="1">
      <c r="H23" s="95">
        <f>H21*H22</f>
        <v>0</v>
      </c>
      <c r="I23" s="107" t="s">
        <v>417</v>
      </c>
      <c r="J23" s="95">
        <f>J21*J22</f>
        <v>0</v>
      </c>
      <c r="K23" s="107" t="s">
        <v>417</v>
      </c>
      <c r="L23" s="95">
        <f>L21*L22</f>
        <v>0</v>
      </c>
      <c r="M23" s="107" t="s">
        <v>417</v>
      </c>
    </row>
    <row r="24" spans="3:15" ht="20.100000000000001" customHeight="1">
      <c r="G24" s="108" t="s">
        <v>403</v>
      </c>
      <c r="L24" s="131">
        <f>H23+J23+L23</f>
        <v>0</v>
      </c>
      <c r="M24" s="107" t="s">
        <v>417</v>
      </c>
    </row>
    <row r="26" spans="3:15" ht="20.100000000000001" customHeight="1">
      <c r="C26" s="95" t="s">
        <v>421</v>
      </c>
      <c r="I26" s="95"/>
      <c r="K26" s="95"/>
      <c r="M26" s="95"/>
    </row>
    <row r="27" spans="3:15" ht="20.100000000000001" customHeight="1">
      <c r="C27" s="112" t="s">
        <v>400</v>
      </c>
      <c r="D27" s="113" t="s">
        <v>401</v>
      </c>
      <c r="E27" s="114" t="s">
        <v>402</v>
      </c>
      <c r="F27" s="307" t="s">
        <v>403</v>
      </c>
      <c r="G27" s="308"/>
      <c r="H27" s="103" t="s">
        <v>404</v>
      </c>
      <c r="J27" s="103" t="s">
        <v>405</v>
      </c>
      <c r="L27" s="103" t="s">
        <v>406</v>
      </c>
    </row>
    <row r="28" spans="3:15" ht="20.100000000000001" customHeight="1">
      <c r="C28" s="135" t="str">
        <f>IF(D28="","",【A】実務経験要件判定シート!O19)</f>
        <v/>
      </c>
      <c r="D28" s="98" t="str">
        <f>IF(【A】実務経験要件判定シート!D19="","",【A】実務経験要件判定シート!D19)</f>
        <v/>
      </c>
      <c r="E28" s="115" t="str">
        <f>IF(OR(C28="",D28=""),"",DATEDIF(C28,D28+1,"D"))</f>
        <v/>
      </c>
      <c r="F28" s="307"/>
      <c r="G28" s="308"/>
      <c r="H28" s="104">
        <f>IF(OR($C28="",$D28=""),0,DATEDIF($C28,$D28+1,"Y"))</f>
        <v>0</v>
      </c>
      <c r="I28" s="107" t="s">
        <v>408</v>
      </c>
      <c r="J28" s="104">
        <f>IF(OR($C28="",$D28=""),0,DATEDIF($C28,$D28+1,"YM"))</f>
        <v>0</v>
      </c>
      <c r="K28" s="107" t="s">
        <v>409</v>
      </c>
      <c r="L28" s="104">
        <f>IF(OR($C28="",$D28=""),0,DATEDIF($C28,$D28+1,"MD"))</f>
        <v>0</v>
      </c>
      <c r="M28" s="107" t="s">
        <v>410</v>
      </c>
    </row>
    <row r="29" spans="3:15" ht="20.100000000000001" customHeight="1">
      <c r="C29" s="136"/>
      <c r="D29" s="100"/>
      <c r="E29" s="116" t="str">
        <f t="shared" ref="E29:E30" si="0">IF(OR(C29="",D29=""),"",DATEDIF(C29,D29+1,"D"))</f>
        <v/>
      </c>
      <c r="F29" s="307"/>
      <c r="G29" s="308"/>
      <c r="H29" s="105">
        <f>IF(OR($C29="",$D29=""),0,DATEDIF($C29,$D29+1,"Y"))</f>
        <v>0</v>
      </c>
      <c r="I29" s="107" t="s">
        <v>408</v>
      </c>
      <c r="J29" s="105">
        <f>IF(OR($C29="",$D29=""),0,DATEDIF($C29,$D29+1,"YM"))</f>
        <v>0</v>
      </c>
      <c r="K29" s="107" t="s">
        <v>409</v>
      </c>
      <c r="L29" s="105">
        <f>IF(OR($C29="",$D29=""),0,DATEDIF($C29,$D29+1,"MD"))</f>
        <v>0</v>
      </c>
      <c r="M29" s="107" t="s">
        <v>410</v>
      </c>
    </row>
    <row r="30" spans="3:15" ht="20.100000000000001" customHeight="1">
      <c r="C30" s="137"/>
      <c r="D30" s="102"/>
      <c r="E30" s="138" t="str">
        <f t="shared" si="0"/>
        <v/>
      </c>
      <c r="F30" s="307"/>
      <c r="G30" s="308"/>
      <c r="H30" s="106">
        <f>IF(OR($C30="",$D30=""),0,DATEDIF($C30,$D30+1,"Y"))</f>
        <v>0</v>
      </c>
      <c r="I30" s="107" t="s">
        <v>408</v>
      </c>
      <c r="J30" s="106">
        <f>IF(OR($C30="",$D30=""),0,DATEDIF($C30,$D30+1,"YM"))</f>
        <v>0</v>
      </c>
      <c r="K30" s="107" t="s">
        <v>409</v>
      </c>
      <c r="L30" s="106">
        <f>IF(OR($C30="",$D30=""),0,DATEDIF($C30,$D30+1,"MD"))</f>
        <v>0</v>
      </c>
      <c r="M30" s="107" t="s">
        <v>410</v>
      </c>
    </row>
    <row r="31" spans="3:15" ht="20.100000000000001" customHeight="1">
      <c r="E31" s="134">
        <f>SUM(E28:E30)</f>
        <v>0</v>
      </c>
      <c r="G31" s="107" t="s">
        <v>413</v>
      </c>
      <c r="H31" s="95">
        <f>SUM(H28:H30)</f>
        <v>0</v>
      </c>
      <c r="I31" s="107" t="s">
        <v>408</v>
      </c>
      <c r="J31" s="95">
        <f>INT((J28+J29+J30+L31)/12)</f>
        <v>0</v>
      </c>
      <c r="K31" s="107" t="s">
        <v>408</v>
      </c>
      <c r="L31" s="95">
        <f>INT(SUM(L28:L30)/30)</f>
        <v>0</v>
      </c>
      <c r="M31" s="107" t="s">
        <v>414</v>
      </c>
    </row>
    <row r="32" spans="3:15" ht="20.100000000000001" customHeight="1">
      <c r="G32" s="107" t="s">
        <v>413</v>
      </c>
      <c r="H32" s="95">
        <f>H31+J31</f>
        <v>0</v>
      </c>
      <c r="I32" s="107" t="s">
        <v>408</v>
      </c>
      <c r="J32" s="95">
        <f>MOD((J28+J29+J30+L31),12)</f>
        <v>0</v>
      </c>
      <c r="K32" s="107" t="s">
        <v>415</v>
      </c>
      <c r="L32" s="95">
        <f>MOD(SUM(L28:L30),30)</f>
        <v>0</v>
      </c>
      <c r="M32" s="107" t="s">
        <v>410</v>
      </c>
      <c r="N32" s="107" t="s">
        <v>403</v>
      </c>
      <c r="O32" s="107" t="str">
        <f>H32&amp;I32&amp;J32&amp;K32&amp;L32&amp;M32</f>
        <v>0年0ヶ月0日</v>
      </c>
    </row>
    <row r="33" spans="3:28" ht="20.100000000000001" customHeight="1">
      <c r="C33" s="96"/>
      <c r="D33" s="96"/>
      <c r="E33" s="96"/>
      <c r="G33" s="107" t="s">
        <v>416</v>
      </c>
      <c r="H33" s="95">
        <f>$H$9</f>
        <v>365</v>
      </c>
      <c r="I33" s="107" t="s">
        <v>410</v>
      </c>
      <c r="J33" s="95">
        <f>$J$9</f>
        <v>30</v>
      </c>
      <c r="K33" s="107" t="s">
        <v>410</v>
      </c>
      <c r="L33" s="95">
        <f>$L$9</f>
        <v>1</v>
      </c>
      <c r="M33" s="107" t="s">
        <v>410</v>
      </c>
      <c r="N33" s="108" t="s">
        <v>422</v>
      </c>
      <c r="O33" s="107">
        <f>(H32*12)+J32</f>
        <v>0</v>
      </c>
      <c r="P33" s="95" t="s">
        <v>409</v>
      </c>
    </row>
    <row r="34" spans="3:28" ht="20.100000000000001" customHeight="1">
      <c r="H34" s="95">
        <f>H32*H33</f>
        <v>0</v>
      </c>
      <c r="I34" s="107" t="s">
        <v>417</v>
      </c>
      <c r="J34" s="95">
        <f>J32*J33</f>
        <v>0</v>
      </c>
      <c r="K34" s="107" t="s">
        <v>417</v>
      </c>
      <c r="L34" s="95">
        <f>L32*L33</f>
        <v>0</v>
      </c>
      <c r="M34" s="107" t="s">
        <v>417</v>
      </c>
      <c r="O34" s="107">
        <f>O33-6</f>
        <v>-6</v>
      </c>
      <c r="P34" s="95" t="s">
        <v>409</v>
      </c>
      <c r="Q34" s="107" t="s">
        <v>422</v>
      </c>
      <c r="R34" s="107">
        <f>INT(O34/12)</f>
        <v>-1</v>
      </c>
      <c r="S34" s="107" t="s">
        <v>408</v>
      </c>
      <c r="T34" s="107">
        <f>MOD(O34,12)</f>
        <v>6</v>
      </c>
      <c r="U34" s="107" t="s">
        <v>409</v>
      </c>
      <c r="V34" s="107">
        <f>L32</f>
        <v>0</v>
      </c>
      <c r="W34" s="107" t="s">
        <v>417</v>
      </c>
      <c r="X34" s="107" t="s">
        <v>403</v>
      </c>
      <c r="Y34" s="163">
        <f>R35+T35+V35</f>
        <v>-185</v>
      </c>
      <c r="Z34" s="107" t="s">
        <v>417</v>
      </c>
      <c r="AA34" s="107" t="str">
        <f>R34&amp;S34&amp;T34&amp;U34&amp;V34&amp;W34</f>
        <v>-1年6ヶ月0日</v>
      </c>
      <c r="AB34" s="107" t="s">
        <v>423</v>
      </c>
    </row>
    <row r="35" spans="3:28" ht="20.100000000000001" customHeight="1">
      <c r="G35" s="108" t="s">
        <v>403</v>
      </c>
      <c r="L35" s="164">
        <f>H34+J34+L34</f>
        <v>0</v>
      </c>
      <c r="M35" s="107" t="s">
        <v>417</v>
      </c>
      <c r="R35" s="107">
        <f>R34*H33</f>
        <v>-365</v>
      </c>
      <c r="S35" s="107" t="s">
        <v>417</v>
      </c>
      <c r="T35" s="107">
        <f>T34*J33</f>
        <v>180</v>
      </c>
      <c r="U35" s="107" t="s">
        <v>417</v>
      </c>
      <c r="V35" s="107">
        <f>V34*L33</f>
        <v>0</v>
      </c>
      <c r="W35" s="107" t="s">
        <v>417</v>
      </c>
      <c r="X35" s="107"/>
      <c r="Y35" s="163">
        <f>$H$9*2</f>
        <v>730</v>
      </c>
      <c r="AA35" s="107" t="s">
        <v>424</v>
      </c>
      <c r="AB35" s="107" t="s">
        <v>425</v>
      </c>
    </row>
    <row r="36" spans="3:28" ht="20.100000000000001" customHeight="1">
      <c r="Q36" s="108"/>
      <c r="X36" s="107"/>
      <c r="Y36" s="131">
        <f>IF($Y34&gt;=730,Y35,Y34)</f>
        <v>-185</v>
      </c>
      <c r="AA36" s="162" t="str">
        <f>IF($Y34&gt;=730,AA35,AA34)</f>
        <v>-1年6ヶ月0日</v>
      </c>
    </row>
    <row r="37" spans="3:28" ht="20.100000000000001" customHeight="1">
      <c r="V37"/>
    </row>
    <row r="38" spans="3:28" ht="20.100000000000001" customHeight="1">
      <c r="C38" s="95" t="s">
        <v>426</v>
      </c>
      <c r="I38" s="95"/>
      <c r="K38" s="95"/>
      <c r="M38" s="95"/>
    </row>
    <row r="39" spans="3:28" ht="20.100000000000001" customHeight="1">
      <c r="C39" s="112" t="s">
        <v>400</v>
      </c>
      <c r="D39" s="113" t="s">
        <v>401</v>
      </c>
      <c r="E39" s="114" t="s">
        <v>402</v>
      </c>
      <c r="F39" s="307" t="s">
        <v>403</v>
      </c>
      <c r="G39" s="308"/>
      <c r="H39" s="103" t="s">
        <v>404</v>
      </c>
      <c r="J39" s="103" t="s">
        <v>405</v>
      </c>
      <c r="L39" s="103" t="s">
        <v>406</v>
      </c>
    </row>
    <row r="40" spans="3:28" ht="20.100000000000001" customHeight="1">
      <c r="C40" s="135" t="str">
        <f>IF(【A】実務経験要件判定シート!受験予定日="","",【A】実務経験要件判定シート!受験予定日)</f>
        <v/>
      </c>
      <c r="D40" s="98" t="str">
        <f>IF(【C】誓約書!実務経験満了予定日="","",【C】誓約書!実務経験満了予定日)</f>
        <v/>
      </c>
      <c r="E40" s="115" t="str">
        <f>IF(OR(C40="",D40=""),"",DATEDIF(C40,D40+1,"D"))</f>
        <v/>
      </c>
      <c r="F40" s="307"/>
      <c r="G40" s="308"/>
      <c r="H40" s="104">
        <f>IF(OR($C40="",$D40=""),0,DATEDIF($C40,$D40+1,"Y"))</f>
        <v>0</v>
      </c>
      <c r="I40" s="107" t="s">
        <v>408</v>
      </c>
      <c r="J40" s="104">
        <f>IF(OR($C40="",$D40=""),0,DATEDIF($C40,$D40+1,"YM"))</f>
        <v>0</v>
      </c>
      <c r="K40" s="107" t="s">
        <v>409</v>
      </c>
      <c r="L40" s="104">
        <f>IF(OR($C40="",$D40=""),0,DATEDIF($C40,$D40+1,"MD"))</f>
        <v>0</v>
      </c>
      <c r="M40" s="107" t="s">
        <v>410</v>
      </c>
    </row>
    <row r="41" spans="3:28" ht="20.100000000000001" customHeight="1">
      <c r="C41" s="309" t="s">
        <v>427</v>
      </c>
      <c r="D41" s="310"/>
      <c r="E41" s="311"/>
      <c r="F41" s="307"/>
      <c r="G41" s="308"/>
      <c r="H41" s="106">
        <f>H8</f>
        <v>0</v>
      </c>
      <c r="I41" s="107" t="s">
        <v>408</v>
      </c>
      <c r="J41" s="106">
        <f>J8</f>
        <v>0</v>
      </c>
      <c r="K41" s="107" t="s">
        <v>409</v>
      </c>
      <c r="L41" s="106">
        <f>L8</f>
        <v>0</v>
      </c>
      <c r="M41" s="107" t="s">
        <v>410</v>
      </c>
    </row>
    <row r="42" spans="3:28" ht="20.100000000000001" customHeight="1">
      <c r="E42" s="134">
        <f>SUM(E40:E41)+E7</f>
        <v>0</v>
      </c>
      <c r="G42" s="107" t="s">
        <v>413</v>
      </c>
      <c r="H42" s="95">
        <f>SUM(H40:H41)</f>
        <v>0</v>
      </c>
      <c r="I42" s="107" t="s">
        <v>408</v>
      </c>
      <c r="J42" s="95">
        <f>INT((J40+J41+L42)/12)</f>
        <v>0</v>
      </c>
      <c r="K42" s="107" t="s">
        <v>408</v>
      </c>
      <c r="L42" s="95">
        <f>INT(SUM(L40:L41)/30)</f>
        <v>0</v>
      </c>
      <c r="M42" s="107" t="s">
        <v>414</v>
      </c>
    </row>
    <row r="43" spans="3:28" ht="20.100000000000001" customHeight="1">
      <c r="G43" s="107" t="s">
        <v>413</v>
      </c>
      <c r="H43" s="95">
        <f>H42+J42</f>
        <v>0</v>
      </c>
      <c r="I43" s="107" t="s">
        <v>408</v>
      </c>
      <c r="J43" s="95">
        <f>MOD((J40+J41+L42),12)</f>
        <v>0</v>
      </c>
      <c r="K43" s="107" t="s">
        <v>415</v>
      </c>
      <c r="L43" s="95">
        <f>MOD(SUM(L40:L41),30)</f>
        <v>0</v>
      </c>
      <c r="M43" s="107" t="s">
        <v>410</v>
      </c>
      <c r="N43" s="107" t="s">
        <v>403</v>
      </c>
      <c r="O43" s="107" t="str">
        <f>H43&amp;I43&amp;J43&amp;K43&amp;L43&amp;M43</f>
        <v>0年0ヶ月0日</v>
      </c>
    </row>
    <row r="44" spans="3:28" ht="20.100000000000001" customHeight="1">
      <c r="C44" s="96"/>
      <c r="D44" s="96"/>
      <c r="E44" s="96"/>
      <c r="G44" s="107" t="s">
        <v>416</v>
      </c>
      <c r="H44" s="95">
        <f>$H$9</f>
        <v>365</v>
      </c>
      <c r="I44" s="107" t="s">
        <v>410</v>
      </c>
      <c r="J44" s="95">
        <f>$J$9</f>
        <v>30</v>
      </c>
      <c r="K44" s="107" t="s">
        <v>410</v>
      </c>
      <c r="L44" s="95">
        <f>$L$9</f>
        <v>1</v>
      </c>
      <c r="M44" s="107" t="s">
        <v>410</v>
      </c>
    </row>
    <row r="45" spans="3:28" ht="20.100000000000001" customHeight="1">
      <c r="H45" s="95">
        <f>H43*H44</f>
        <v>0</v>
      </c>
      <c r="I45" s="107" t="s">
        <v>417</v>
      </c>
      <c r="J45" s="95">
        <f>J43*J44</f>
        <v>0</v>
      </c>
      <c r="K45" s="107" t="s">
        <v>417</v>
      </c>
      <c r="L45" s="95">
        <f>L43*L44</f>
        <v>0</v>
      </c>
      <c r="M45" s="107" t="s">
        <v>417</v>
      </c>
    </row>
    <row r="46" spans="3:28" ht="20.100000000000001" customHeight="1">
      <c r="G46" s="108" t="s">
        <v>403</v>
      </c>
      <c r="L46" s="131">
        <f>H45+J45+L45</f>
        <v>0</v>
      </c>
      <c r="M46" s="107" t="s">
        <v>417</v>
      </c>
    </row>
  </sheetData>
  <mergeCells count="5">
    <mergeCell ref="F3:G6"/>
    <mergeCell ref="F16:G19"/>
    <mergeCell ref="F27:G30"/>
    <mergeCell ref="F39:G41"/>
    <mergeCell ref="C41:E4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ED80ABCD77014EA3DEE129D071ECA0" ma:contentTypeVersion="15" ma:contentTypeDescription="新しいドキュメントを作成します。" ma:contentTypeScope="" ma:versionID="1dc85f61b0b35d8f15f30e2d883c082d">
  <xsd:schema xmlns:xsd="http://www.w3.org/2001/XMLSchema" xmlns:xs="http://www.w3.org/2001/XMLSchema" xmlns:p="http://schemas.microsoft.com/office/2006/metadata/properties" xmlns:ns2="7815e1f8-2edc-4761-b704-aebbcafdf25d" xmlns:ns3="bf5775f5-59c2-4fcc-b06f-b34271ef3b5b" targetNamespace="http://schemas.microsoft.com/office/2006/metadata/properties" ma:root="true" ma:fieldsID="cbe4d27431daf6f7ef0faa42302347be" ns2:_="" ns3:_="">
    <xsd:import namespace="7815e1f8-2edc-4761-b704-aebbcafdf25d"/>
    <xsd:import namespace="bf5775f5-59c2-4fcc-b06f-b34271ef3b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15e1f8-2edc-4761-b704-aebbcafdf2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2bf4b36-2083-46c1-8ac4-b36d659b07a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5775f5-59c2-4fcc-b06f-b34271ef3b5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5a96027-3832-4742-9cfa-7a7fc4857fec}" ma:internalName="TaxCatchAll" ma:showField="CatchAllData" ma:web="bf5775f5-59c2-4fcc-b06f-b34271ef3b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15e1f8-2edc-4761-b704-aebbcafdf25d">
      <Terms xmlns="http://schemas.microsoft.com/office/infopath/2007/PartnerControls"/>
    </lcf76f155ced4ddcb4097134ff3c332f>
    <TaxCatchAll xmlns="bf5775f5-59c2-4fcc-b06f-b34271ef3b5b" xsi:nil="true"/>
  </documentManagement>
</p:properties>
</file>

<file path=customXml/itemProps1.xml><?xml version="1.0" encoding="utf-8"?>
<ds:datastoreItem xmlns:ds="http://schemas.openxmlformats.org/officeDocument/2006/customXml" ds:itemID="{F9D87E84-F537-42DD-853B-3569373A1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15e1f8-2edc-4761-b704-aebbcafdf25d"/>
    <ds:schemaRef ds:uri="bf5775f5-59c2-4fcc-b06f-b34271ef3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627295-A6A7-444E-88B3-BC33B7DE0DC3}">
  <ds:schemaRefs>
    <ds:schemaRef ds:uri="http://schemas.microsoft.com/sharepoint/v3/contenttype/forms"/>
  </ds:schemaRefs>
</ds:datastoreItem>
</file>

<file path=customXml/itemProps3.xml><?xml version="1.0" encoding="utf-8"?>
<ds:datastoreItem xmlns:ds="http://schemas.openxmlformats.org/officeDocument/2006/customXml" ds:itemID="{8996D44A-DF44-463A-81D3-E012B3D9FBCC}">
  <ds:schemaRefs>
    <ds:schemaRef ds:uri="http://schemas.microsoft.com/office/2006/metadata/properties"/>
    <ds:schemaRef ds:uri="http://schemas.microsoft.com/office/infopath/2007/PartnerControls"/>
    <ds:schemaRef ds:uri="7815e1f8-2edc-4761-b704-aebbcafdf25d"/>
    <ds:schemaRef ds:uri="bf5775f5-59c2-4fcc-b06f-b34271ef3b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73</vt:i4>
      </vt:variant>
    </vt:vector>
  </HeadingPairs>
  <TitlesOfParts>
    <vt:vector size="81" baseType="lpstr">
      <vt:lpstr>①実務経験修了者（原本）</vt:lpstr>
      <vt:lpstr>【A】実務経験要件判定シート</vt:lpstr>
      <vt:lpstr>【B】実務経験証明書</vt:lpstr>
      <vt:lpstr>【C】誓約書</vt:lpstr>
      <vt:lpstr>【D】管理 指導等実務経験の説明</vt:lpstr>
      <vt:lpstr>説明</vt:lpstr>
      <vt:lpstr>設定リスト</vt:lpstr>
      <vt:lpstr>計算シート</vt:lpstr>
      <vt:lpstr>【A】実務経験要件判定シート!④受験可否判定</vt:lpstr>
      <vt:lpstr>【A】実務経験要件判定シート!⑤経過措置による受験可否判定▼a</vt:lpstr>
      <vt:lpstr>【A】実務経験要件判定シート!⑤経過措置による受験可否判定▼b</vt:lpstr>
      <vt:lpstr>【A】実務経験要件判定シート!⑤受験可否判定</vt:lpstr>
      <vt:lpstr>【A】実務経験要件判定シート!Print_Area</vt:lpstr>
      <vt:lpstr>【B】実務経験証明書!Print_Area</vt:lpstr>
      <vt:lpstr>【C】誓約書!Print_Area</vt:lpstr>
      <vt:lpstr>'【D】管理 指導等実務経験の説明'!Print_Area</vt:lpstr>
      <vt:lpstr>'①実務経験修了者（原本）'!Print_Area</vt:lpstr>
      <vt:lpstr>説明!Print_Area</vt:lpstr>
      <vt:lpstr>説明!Print_Titles</vt:lpstr>
      <vt:lpstr>【A】実務経験要件判定シート!チェック▼必須</vt:lpstr>
      <vt:lpstr>飲食料品製造業②管理業務</vt:lpstr>
      <vt:lpstr>飲食料品製造業②管理業務_コスト管理</vt:lpstr>
      <vt:lpstr>飲食料品製造業②管理業務_その他</vt:lpstr>
      <vt:lpstr>飲食料品製造業②管理業務_安全衛生管理</vt:lpstr>
      <vt:lpstr>飲食料品製造業②管理業務_衛生管理</vt:lpstr>
      <vt:lpstr>飲食料品製造業②管理業務_原材料管理</vt:lpstr>
      <vt:lpstr>飲食料品製造業②管理業務_従業員管理</vt:lpstr>
      <vt:lpstr>飲食料品製造業②管理業務_納期管理</vt:lpstr>
      <vt:lpstr>飲食料品製造業②管理業務_品質管理</vt:lpstr>
      <vt:lpstr>飲食料品製造業③指導業務</vt:lpstr>
      <vt:lpstr>飲食料品製造業③指導業務_その他</vt:lpstr>
      <vt:lpstr>飲食料品製造業③指導業務_安全指導</vt:lpstr>
      <vt:lpstr>飲食料品製造業③指導業務_衛生指導</vt:lpstr>
      <vt:lpstr>飲食料品製造業③指導業務_作業指導</vt:lpstr>
      <vt:lpstr>外食業②管理業務</vt:lpstr>
      <vt:lpstr>外食業②管理業務_飲食物調理管理</vt:lpstr>
      <vt:lpstr>外食業②管理業務_衛生管理</vt:lpstr>
      <vt:lpstr>外食業②管理業務_接客管理</vt:lpstr>
      <vt:lpstr>外食業②管理業務_店舗管理</vt:lpstr>
      <vt:lpstr>外食業③指導業務</vt:lpstr>
      <vt:lpstr>外食業③指導業務_その他</vt:lpstr>
      <vt:lpstr>外食業③指導業務_飲食物調理指導</vt:lpstr>
      <vt:lpstr>外食業③指導業務_衛生指導</vt:lpstr>
      <vt:lpstr>外食業③指導業務_接客指導</vt:lpstr>
      <vt:lpstr>外食業③指導業務_店舗運営指導</vt:lpstr>
      <vt:lpstr>【A】実務経験要件判定シート!企業A▼②管理業務</vt:lpstr>
      <vt:lpstr>【A】実務経験要件判定シート!企業A▼③指導業務</vt:lpstr>
      <vt:lpstr>【A】実務経験要件判定シート!企業A▼開始日</vt:lpstr>
      <vt:lpstr>【A】実務経験要件判定シート!企業A▼企業名</vt:lpstr>
      <vt:lpstr>【A】実務経験要件判定シート!企業A▼終了日</vt:lpstr>
      <vt:lpstr>【A】実務経験要件判定シート!企業A▼人数</vt:lpstr>
      <vt:lpstr>【A】実務経験要件判定シート!企業A▼役職</vt:lpstr>
      <vt:lpstr>【A】実務経験要件判定シート!企業B▼開始日</vt:lpstr>
      <vt:lpstr>【A】実務経験要件判定シート!企業B▼終了日</vt:lpstr>
      <vt:lpstr>【A】実務経験要件判定シート!企業B▼人数</vt:lpstr>
      <vt:lpstr>【A】実務経験要件判定シート!企業B▼役職</vt:lpstr>
      <vt:lpstr>【A】実務経験要件判定シート!企業B▼有フラグ</vt:lpstr>
      <vt:lpstr>【A】実務経験要件判定シート!企業C▼開始日</vt:lpstr>
      <vt:lpstr>【A】実務経験要件判定シート!企業C▼終了日</vt:lpstr>
      <vt:lpstr>【A】実務経験要件判定シート!企業C▼有フラグ</vt:lpstr>
      <vt:lpstr>【A】実務経験要件判定シート!許可を受けた日</vt:lpstr>
      <vt:lpstr>業種</vt:lpstr>
      <vt:lpstr>【A】実務経験要件判定シート!国籍▼地域</vt:lpstr>
      <vt:lpstr>【B】実務経験証明書!事業者名</vt:lpstr>
      <vt:lpstr>【C】誓約書!事業者名</vt:lpstr>
      <vt:lpstr>計算シート!実務経験日数▼補正後</vt:lpstr>
      <vt:lpstr>【C】誓約書!実務経験満了予定日</vt:lpstr>
      <vt:lpstr>【A】実務経験要件判定シート!受験予定日</vt:lpstr>
      <vt:lpstr>【B】実務経験証明書!住所</vt:lpstr>
      <vt:lpstr>【C】誓約書!住所</vt:lpstr>
      <vt:lpstr>【B】実務経験証明書!証明書作成日</vt:lpstr>
      <vt:lpstr>【C】誓約書!証明書作成日</vt:lpstr>
      <vt:lpstr>【A】実務経験要件判定シート!申請区分</vt:lpstr>
      <vt:lpstr>【A】実務経験要件判定シート!生年月日</vt:lpstr>
      <vt:lpstr>【A】実務経験要件判定シート!名前</vt:lpstr>
      <vt:lpstr>【B】実務経験証明書!役職▼証明者氏名</vt:lpstr>
      <vt:lpstr>【C】誓約書!役職▼証明者氏名</vt:lpstr>
      <vt:lpstr>【B】実務経験証明書!連絡先▼メール</vt:lpstr>
      <vt:lpstr>【C】誓約書!連絡先▼メール</vt:lpstr>
      <vt:lpstr>【B】実務経験証明書!連絡先▼電話</vt:lpstr>
      <vt:lpstr>【C】誓約書!連絡先▼電話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OTAFF　深谷</dc:creator>
  <cp:keywords/>
  <dc:description/>
  <cp:lastModifiedBy>OTAFF　深谷</cp:lastModifiedBy>
  <cp:revision/>
  <dcterms:created xsi:type="dcterms:W3CDTF">2023-10-31T00:38:31Z</dcterms:created>
  <dcterms:modified xsi:type="dcterms:W3CDTF">2025-06-23T09:48:55Z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0x010100E1ED80ABCD77014EA3DEE129D071ECA0</vt:lpwstr>
  </property>
  <property fmtid="{D5CDD505-2E9C-101B-9397-08002B2CF9AE}" pid="3" name="MediaServiceImageTags">
    <vt:lpwstr/>
  </property>
</Properties>
</file>